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Shepherd\Google Drive\Globe\Budgets\2021-22\"/>
    </mc:Choice>
  </mc:AlternateContent>
  <xr:revisionPtr revIDLastSave="0" documentId="13_ncr:1_{97236CE3-CAA6-427B-ADAE-C11839E0ADE5}" xr6:coauthVersionLast="47" xr6:coauthVersionMax="47" xr10:uidLastSave="{00000000-0000-0000-0000-000000000000}"/>
  <bookViews>
    <workbookView xWindow="1950" yWindow="615" windowWidth="24915" windowHeight="14115" xr2:uid="{00000000-000D-0000-FFFF-FFFF00000000}"/>
  </bookViews>
  <sheets>
    <sheet name="Sheet1" sheetId="1" r:id="rId1"/>
    <sheet name="Sheet4" sheetId="4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5" i="1" l="1"/>
  <c r="N114" i="1"/>
  <c r="M126" i="1" l="1"/>
  <c r="L126" i="1"/>
  <c r="K126" i="1"/>
  <c r="J126" i="1"/>
  <c r="I126" i="1"/>
  <c r="H126" i="1"/>
  <c r="G126" i="1"/>
  <c r="F126" i="1"/>
  <c r="E126" i="1"/>
  <c r="D126" i="1"/>
  <c r="C126" i="1"/>
  <c r="B126" i="1"/>
  <c r="K83" i="1" l="1"/>
  <c r="A11" i="1" l="1"/>
  <c r="N115" i="1" l="1"/>
  <c r="M16" i="1" l="1"/>
  <c r="L16" i="1"/>
  <c r="K16" i="1"/>
  <c r="J16" i="1"/>
  <c r="I16" i="1"/>
  <c r="H16" i="1"/>
  <c r="G16" i="1"/>
  <c r="F16" i="1"/>
  <c r="E16" i="1"/>
  <c r="D16" i="1"/>
  <c r="C16" i="1"/>
  <c r="B16" i="1"/>
  <c r="M15" i="1"/>
  <c r="L15" i="1"/>
  <c r="K15" i="1"/>
  <c r="J15" i="1"/>
  <c r="I15" i="1"/>
  <c r="H15" i="1"/>
  <c r="G15" i="1"/>
  <c r="F15" i="1"/>
  <c r="E15" i="1"/>
  <c r="D15" i="1"/>
  <c r="C15" i="1"/>
  <c r="B15" i="1"/>
  <c r="M23" i="1"/>
  <c r="L23" i="1"/>
  <c r="K23" i="1"/>
  <c r="J23" i="1"/>
  <c r="I23" i="1"/>
  <c r="H23" i="1"/>
  <c r="G23" i="1"/>
  <c r="B23" i="1"/>
  <c r="N118" i="1"/>
  <c r="A71" i="1"/>
  <c r="N36" i="1" l="1"/>
  <c r="J173" i="1" l="1"/>
  <c r="K173" i="1"/>
  <c r="L173" i="1"/>
  <c r="M173" i="1"/>
  <c r="G173" i="1"/>
  <c r="H173" i="1"/>
  <c r="I173" i="1"/>
  <c r="F33" i="1" l="1"/>
  <c r="G33" i="1" s="1"/>
  <c r="H33" i="1" s="1"/>
  <c r="I33" i="1" s="1"/>
  <c r="J33" i="1" s="1"/>
  <c r="K33" i="1" s="1"/>
  <c r="L33" i="1" s="1"/>
  <c r="M33" i="1" s="1"/>
  <c r="F29" i="1"/>
  <c r="G29" i="1" s="1"/>
  <c r="H29" i="1" s="1"/>
  <c r="I29" i="1" s="1"/>
  <c r="J29" i="1" s="1"/>
  <c r="K29" i="1" s="1"/>
  <c r="L29" i="1" s="1"/>
  <c r="M29" i="1" s="1"/>
  <c r="N99" i="1" l="1"/>
  <c r="N100" i="1"/>
  <c r="N101" i="1"/>
  <c r="N102" i="1"/>
  <c r="N110" i="1"/>
  <c r="N111" i="1"/>
  <c r="N112" i="1"/>
  <c r="N120" i="1"/>
  <c r="N121" i="1"/>
  <c r="N122" i="1"/>
  <c r="N141" i="1"/>
  <c r="N142" i="1"/>
  <c r="N143" i="1"/>
  <c r="N172" i="1"/>
  <c r="N174" i="1"/>
  <c r="N181" i="1"/>
  <c r="N182" i="1"/>
  <c r="N183" i="1"/>
  <c r="N184" i="1"/>
  <c r="N185" i="1"/>
  <c r="N186" i="1"/>
  <c r="N187" i="1"/>
  <c r="N188" i="1"/>
  <c r="N189" i="1"/>
  <c r="N193" i="1"/>
  <c r="N196" i="1"/>
  <c r="N197" i="1"/>
  <c r="N198" i="1"/>
  <c r="N200" i="1"/>
  <c r="N201" i="1"/>
  <c r="N202" i="1"/>
  <c r="N203" i="1"/>
  <c r="N204" i="1"/>
  <c r="N206" i="1"/>
  <c r="N207" i="1"/>
  <c r="N208" i="1"/>
  <c r="N209" i="1"/>
  <c r="N211" i="1"/>
  <c r="N212" i="1"/>
  <c r="N195" i="1" l="1"/>
  <c r="N194" i="1"/>
  <c r="C131" i="1"/>
  <c r="D131" i="1" s="1"/>
  <c r="E131" i="1" s="1"/>
  <c r="F131" i="1" s="1"/>
  <c r="G131" i="1" s="1"/>
  <c r="H131" i="1" s="1"/>
  <c r="I131" i="1" s="1"/>
  <c r="J131" i="1" s="1"/>
  <c r="K131" i="1" s="1"/>
  <c r="L131" i="1" s="1"/>
  <c r="M131" i="1" s="1"/>
  <c r="C23" i="1"/>
  <c r="C173" i="1" s="1"/>
  <c r="D23" i="1"/>
  <c r="D173" i="1" s="1"/>
  <c r="E23" i="1"/>
  <c r="E173" i="1" s="1"/>
  <c r="F23" i="1"/>
  <c r="F173" i="1" s="1"/>
  <c r="B173" i="1"/>
  <c r="N37" i="1" l="1"/>
  <c r="N249" i="1" l="1"/>
  <c r="B34" i="1" l="1"/>
  <c r="C34" i="1" s="1"/>
  <c r="D34" i="1" s="1"/>
  <c r="E34" i="1" s="1"/>
  <c r="F34" i="1" s="1"/>
  <c r="G34" i="1" s="1"/>
  <c r="H34" i="1" s="1"/>
  <c r="I34" i="1" s="1"/>
  <c r="J34" i="1" s="1"/>
  <c r="K34" i="1" s="1"/>
  <c r="L34" i="1" s="1"/>
  <c r="M34" i="1" s="1"/>
  <c r="D78" i="1" l="1"/>
  <c r="E78" i="1"/>
  <c r="F78" i="1"/>
  <c r="G78" i="1"/>
  <c r="H78" i="1"/>
  <c r="I78" i="1"/>
  <c r="J78" i="1"/>
  <c r="K78" i="1"/>
  <c r="L78" i="1"/>
  <c r="C78" i="1"/>
  <c r="C199" i="1" l="1"/>
  <c r="D199" i="1"/>
  <c r="E199" i="1"/>
  <c r="F199" i="1"/>
  <c r="G199" i="1"/>
  <c r="H199" i="1"/>
  <c r="I199" i="1"/>
  <c r="J199" i="1"/>
  <c r="K199" i="1"/>
  <c r="L199" i="1"/>
  <c r="M199" i="1"/>
  <c r="B199" i="1"/>
  <c r="C231" i="1"/>
  <c r="D231" i="1"/>
  <c r="E231" i="1"/>
  <c r="F231" i="1"/>
  <c r="G231" i="1"/>
  <c r="H231" i="1"/>
  <c r="I231" i="1"/>
  <c r="J231" i="1"/>
  <c r="K231" i="1"/>
  <c r="L231" i="1"/>
  <c r="M231" i="1"/>
  <c r="P214" i="1"/>
  <c r="O214" i="1"/>
  <c r="P34" i="1"/>
  <c r="O34" i="1"/>
  <c r="N199" i="1" l="1"/>
  <c r="N38" i="1"/>
  <c r="N16" i="1" l="1"/>
  <c r="O16" i="1" s="1"/>
  <c r="P16" i="1" s="1"/>
  <c r="N255" i="1"/>
  <c r="C251" i="1" l="1"/>
  <c r="D251" i="1"/>
  <c r="E251" i="1"/>
  <c r="F251" i="1"/>
  <c r="G251" i="1"/>
  <c r="H251" i="1"/>
  <c r="I251" i="1"/>
  <c r="J251" i="1"/>
  <c r="K251" i="1"/>
  <c r="L251" i="1"/>
  <c r="M251" i="1"/>
  <c r="B251" i="1"/>
  <c r="N247" i="1"/>
  <c r="N248" i="1"/>
  <c r="N250" i="1"/>
  <c r="N246" i="1"/>
  <c r="N251" i="1" l="1"/>
  <c r="C70" i="1"/>
  <c r="D70" i="1" s="1"/>
  <c r="E70" i="1" s="1"/>
  <c r="F70" i="1" s="1"/>
  <c r="G70" i="1" s="1"/>
  <c r="H70" i="1" s="1"/>
  <c r="I70" i="1" s="1"/>
  <c r="J70" i="1" s="1"/>
  <c r="K70" i="1" s="1"/>
  <c r="L70" i="1" s="1"/>
  <c r="M70" i="1" s="1"/>
  <c r="M80" i="1" l="1"/>
  <c r="B80" i="1"/>
  <c r="C85" i="1"/>
  <c r="E84" i="1"/>
  <c r="F84" i="1" s="1"/>
  <c r="G84" i="1" s="1"/>
  <c r="H84" i="1" s="1"/>
  <c r="I84" i="1" s="1"/>
  <c r="J84" i="1" s="1"/>
  <c r="K84" i="1" s="1"/>
  <c r="L84" i="1" s="1"/>
  <c r="M84" i="1" s="1"/>
  <c r="N70" i="1" l="1"/>
  <c r="N86" i="1" l="1"/>
  <c r="N80" i="1" l="1"/>
  <c r="O80" i="1" s="1"/>
  <c r="P80" i="1" s="1"/>
  <c r="N18" i="1" l="1"/>
  <c r="N103" i="1" l="1"/>
  <c r="N83" i="1" l="1"/>
  <c r="M161" i="1" l="1"/>
  <c r="L161" i="1"/>
  <c r="K161" i="1"/>
  <c r="J161" i="1"/>
  <c r="I161" i="1"/>
  <c r="H161" i="1"/>
  <c r="G161" i="1"/>
  <c r="F161" i="1"/>
  <c r="E161" i="1"/>
  <c r="D161" i="1"/>
  <c r="C161" i="1"/>
  <c r="B161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N140" i="1"/>
  <c r="N124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N153" i="1"/>
  <c r="N152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N205" i="1" l="1"/>
  <c r="J176" i="1"/>
  <c r="M191" i="1"/>
  <c r="M214" i="1" s="1"/>
  <c r="L191" i="1"/>
  <c r="L214" i="1" s="1"/>
  <c r="K191" i="1"/>
  <c r="K214" i="1" s="1"/>
  <c r="J191" i="1"/>
  <c r="J214" i="1" s="1"/>
  <c r="I191" i="1"/>
  <c r="I214" i="1" s="1"/>
  <c r="H191" i="1"/>
  <c r="H214" i="1" s="1"/>
  <c r="G191" i="1"/>
  <c r="G214" i="1" s="1"/>
  <c r="F191" i="1"/>
  <c r="F214" i="1" s="1"/>
  <c r="E191" i="1"/>
  <c r="E214" i="1" s="1"/>
  <c r="D191" i="1"/>
  <c r="D214" i="1" s="1"/>
  <c r="C191" i="1"/>
  <c r="C214" i="1" s="1"/>
  <c r="B191" i="1"/>
  <c r="B214" i="1" s="1"/>
  <c r="I176" i="1"/>
  <c r="G176" i="1"/>
  <c r="F176" i="1"/>
  <c r="E176" i="1"/>
  <c r="C176" i="1"/>
  <c r="B176" i="1"/>
  <c r="M167" i="1"/>
  <c r="L167" i="1"/>
  <c r="K167" i="1"/>
  <c r="J167" i="1"/>
  <c r="I167" i="1"/>
  <c r="H167" i="1"/>
  <c r="H176" i="1" s="1"/>
  <c r="G167" i="1"/>
  <c r="F167" i="1"/>
  <c r="E167" i="1"/>
  <c r="D167" i="1"/>
  <c r="D176" i="1" s="1"/>
  <c r="C167" i="1"/>
  <c r="B167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K176" i="1" l="1"/>
  <c r="N113" i="1"/>
  <c r="O113" i="1" s="1"/>
  <c r="P113" i="1" s="1"/>
  <c r="M105" i="1"/>
  <c r="L105" i="1"/>
  <c r="K105" i="1"/>
  <c r="J105" i="1"/>
  <c r="I105" i="1"/>
  <c r="H105" i="1"/>
  <c r="G105" i="1"/>
  <c r="F105" i="1"/>
  <c r="E105" i="1"/>
  <c r="D105" i="1"/>
  <c r="C105" i="1"/>
  <c r="B105" i="1"/>
  <c r="M97" i="1"/>
  <c r="L97" i="1"/>
  <c r="K97" i="1"/>
  <c r="J97" i="1"/>
  <c r="I97" i="1"/>
  <c r="H97" i="1"/>
  <c r="G97" i="1"/>
  <c r="F97" i="1"/>
  <c r="E97" i="1"/>
  <c r="D97" i="1"/>
  <c r="C97" i="1"/>
  <c r="B97" i="1"/>
  <c r="P135" i="1" l="1"/>
  <c r="O135" i="1"/>
  <c r="M176" i="1"/>
  <c r="L176" i="1"/>
  <c r="L67" i="1"/>
  <c r="K67" i="1"/>
  <c r="J67" i="1"/>
  <c r="I67" i="1"/>
  <c r="H67" i="1"/>
  <c r="G67" i="1"/>
  <c r="F67" i="1"/>
  <c r="E67" i="1"/>
  <c r="D67" i="1"/>
  <c r="C67" i="1"/>
  <c r="M66" i="1"/>
  <c r="L66" i="1"/>
  <c r="K66" i="1"/>
  <c r="J66" i="1"/>
  <c r="I66" i="1"/>
  <c r="H66" i="1"/>
  <c r="G66" i="1"/>
  <c r="F66" i="1"/>
  <c r="E66" i="1"/>
  <c r="D66" i="1"/>
  <c r="C66" i="1"/>
  <c r="B66" i="1"/>
  <c r="M65" i="1"/>
  <c r="L65" i="1"/>
  <c r="K65" i="1"/>
  <c r="J65" i="1"/>
  <c r="I65" i="1"/>
  <c r="H65" i="1"/>
  <c r="G65" i="1"/>
  <c r="F65" i="1"/>
  <c r="E65" i="1"/>
  <c r="D65" i="1"/>
  <c r="C65" i="1"/>
  <c r="B65" i="1"/>
  <c r="M64" i="1"/>
  <c r="L64" i="1"/>
  <c r="K64" i="1"/>
  <c r="J64" i="1"/>
  <c r="I64" i="1"/>
  <c r="H64" i="1"/>
  <c r="G64" i="1"/>
  <c r="F64" i="1"/>
  <c r="E64" i="1"/>
  <c r="D64" i="1"/>
  <c r="C64" i="1"/>
  <c r="B64" i="1"/>
  <c r="M63" i="1"/>
  <c r="L63" i="1"/>
  <c r="K63" i="1"/>
  <c r="J63" i="1"/>
  <c r="I63" i="1"/>
  <c r="H63" i="1"/>
  <c r="G63" i="1"/>
  <c r="F63" i="1"/>
  <c r="E63" i="1"/>
  <c r="D63" i="1"/>
  <c r="C63" i="1"/>
  <c r="B63" i="1"/>
  <c r="G62" i="1"/>
  <c r="N62" i="1" s="1"/>
  <c r="O62" i="1" s="1"/>
  <c r="L61" i="1"/>
  <c r="K61" i="1"/>
  <c r="J61" i="1"/>
  <c r="I61" i="1"/>
  <c r="H61" i="1"/>
  <c r="G61" i="1"/>
  <c r="F61" i="1"/>
  <c r="E61" i="1"/>
  <c r="D61" i="1"/>
  <c r="C61" i="1"/>
  <c r="B61" i="1"/>
  <c r="M60" i="1"/>
  <c r="L60" i="1"/>
  <c r="K60" i="1"/>
  <c r="J60" i="1"/>
  <c r="I60" i="1"/>
  <c r="H60" i="1"/>
  <c r="G60" i="1"/>
  <c r="F60" i="1"/>
  <c r="E60" i="1"/>
  <c r="D60" i="1"/>
  <c r="C60" i="1"/>
  <c r="B60" i="1"/>
  <c r="M59" i="1"/>
  <c r="L59" i="1"/>
  <c r="K59" i="1"/>
  <c r="J59" i="1"/>
  <c r="I59" i="1"/>
  <c r="H59" i="1"/>
  <c r="G59" i="1"/>
  <c r="F59" i="1"/>
  <c r="E59" i="1"/>
  <c r="D59" i="1"/>
  <c r="C59" i="1"/>
  <c r="B59" i="1"/>
  <c r="M58" i="1"/>
  <c r="L58" i="1"/>
  <c r="K58" i="1"/>
  <c r="J58" i="1"/>
  <c r="I58" i="1"/>
  <c r="H58" i="1"/>
  <c r="G58" i="1"/>
  <c r="F58" i="1"/>
  <c r="E58" i="1"/>
  <c r="D58" i="1"/>
  <c r="C58" i="1"/>
  <c r="B58" i="1"/>
  <c r="M57" i="1"/>
  <c r="L57" i="1"/>
  <c r="K57" i="1"/>
  <c r="J57" i="1"/>
  <c r="I57" i="1"/>
  <c r="H57" i="1"/>
  <c r="G57" i="1"/>
  <c r="E57" i="1"/>
  <c r="F57" i="1"/>
  <c r="D57" i="1"/>
  <c r="C57" i="1"/>
  <c r="B57" i="1"/>
  <c r="N173" i="1" l="1"/>
  <c r="N51" i="1"/>
  <c r="N67" i="1"/>
  <c r="O67" i="1" s="1"/>
  <c r="N61" i="1"/>
  <c r="O61" i="1" s="1"/>
  <c r="N93" i="1" l="1"/>
  <c r="N159" i="1" l="1"/>
  <c r="N50" i="1" l="1"/>
  <c r="O50" i="1" s="1"/>
  <c r="P50" i="1" l="1"/>
  <c r="N17" i="1"/>
  <c r="N116" i="1" l="1"/>
  <c r="J39" i="1"/>
  <c r="N165" i="1" l="1"/>
  <c r="N167" i="1" l="1"/>
  <c r="M88" i="1"/>
  <c r="L88" i="1"/>
  <c r="K88" i="1"/>
  <c r="J88" i="1"/>
  <c r="I88" i="1"/>
  <c r="H88" i="1"/>
  <c r="G88" i="1"/>
  <c r="F88" i="1"/>
  <c r="E88" i="1"/>
  <c r="D88" i="1"/>
  <c r="C88" i="1"/>
  <c r="B88" i="1"/>
  <c r="H107" i="1" l="1"/>
  <c r="E107" i="1"/>
  <c r="I107" i="1"/>
  <c r="M107" i="1"/>
  <c r="L107" i="1"/>
  <c r="B107" i="1"/>
  <c r="F107" i="1"/>
  <c r="J107" i="1"/>
  <c r="D107" i="1"/>
  <c r="C107" i="1"/>
  <c r="G107" i="1"/>
  <c r="K107" i="1"/>
  <c r="N97" i="1"/>
  <c r="M245" i="1" l="1"/>
  <c r="L245" i="1"/>
  <c r="K245" i="1"/>
  <c r="J245" i="1"/>
  <c r="I245" i="1"/>
  <c r="H245" i="1"/>
  <c r="G245" i="1"/>
  <c r="F245" i="1"/>
  <c r="E245" i="1"/>
  <c r="D245" i="1"/>
  <c r="C245" i="1"/>
  <c r="B245" i="1"/>
  <c r="B231" i="1"/>
  <c r="N224" i="1"/>
  <c r="N245" i="1" l="1"/>
  <c r="N69" i="1"/>
  <c r="N210" i="1" l="1"/>
  <c r="N32" i="1"/>
  <c r="O32" i="1" s="1"/>
  <c r="N31" i="1"/>
  <c r="O31" i="1" s="1"/>
  <c r="N82" i="1"/>
  <c r="N33" i="1" l="1"/>
  <c r="N170" i="1"/>
  <c r="O33" i="1" l="1"/>
  <c r="P33" i="1" s="1"/>
  <c r="N176" i="1"/>
  <c r="N49" i="1"/>
  <c r="N48" i="1"/>
  <c r="O48" i="1" s="1"/>
  <c r="P48" i="1" s="1"/>
  <c r="N46" i="1"/>
  <c r="O46" i="1" s="1"/>
  <c r="O57" i="1" l="1"/>
  <c r="P46" i="1"/>
  <c r="P57" i="1"/>
  <c r="O63" i="1"/>
  <c r="P63" i="1"/>
  <c r="N23" i="1"/>
  <c r="O23" i="1" s="1"/>
  <c r="O173" i="1" l="1"/>
  <c r="P23" i="1"/>
  <c r="P173" i="1" s="1"/>
  <c r="O25" i="1"/>
  <c r="N131" i="1"/>
  <c r="P25" i="1" l="1"/>
  <c r="N133" i="1"/>
  <c r="N145" i="1"/>
  <c r="N55" i="1" l="1"/>
  <c r="O55" i="1" s="1"/>
  <c r="P55" i="1" l="1"/>
  <c r="N151" i="1"/>
  <c r="N29" i="1" l="1"/>
  <c r="O29" i="1" s="1"/>
  <c r="P29" i="1" l="1"/>
  <c r="P39" i="1" s="1"/>
  <c r="N236" i="1"/>
  <c r="N34" i="1" l="1"/>
  <c r="N85" i="1"/>
  <c r="N66" i="1"/>
  <c r="O66" i="1" s="1"/>
  <c r="N65" i="1"/>
  <c r="O65" i="1" s="1"/>
  <c r="N28" i="1"/>
  <c r="N234" i="1"/>
  <c r="N231" i="1"/>
  <c r="N221" i="1"/>
  <c r="N180" i="1"/>
  <c r="N171" i="1"/>
  <c r="O171" i="1" s="1"/>
  <c r="K178" i="1"/>
  <c r="J178" i="1"/>
  <c r="G178" i="1"/>
  <c r="F178" i="1"/>
  <c r="C178" i="1"/>
  <c r="B178" i="1"/>
  <c r="N150" i="1"/>
  <c r="N149" i="1"/>
  <c r="K135" i="1"/>
  <c r="J135" i="1"/>
  <c r="G135" i="1"/>
  <c r="F135" i="1"/>
  <c r="C135" i="1"/>
  <c r="N123" i="1"/>
  <c r="N94" i="1"/>
  <c r="N84" i="1"/>
  <c r="N68" i="1"/>
  <c r="O68" i="1" s="1"/>
  <c r="P68" i="1" s="1"/>
  <c r="N78" i="1"/>
  <c r="O78" i="1" s="1"/>
  <c r="N81" i="1"/>
  <c r="N79" i="1"/>
  <c r="O79" i="1" s="1"/>
  <c r="P79" i="1" s="1"/>
  <c r="N77" i="1"/>
  <c r="N76" i="1"/>
  <c r="N75" i="1"/>
  <c r="M53" i="1"/>
  <c r="M56" i="1" s="1"/>
  <c r="L53" i="1"/>
  <c r="L56" i="1" s="1"/>
  <c r="K53" i="1"/>
  <c r="K56" i="1" s="1"/>
  <c r="J53" i="1"/>
  <c r="J56" i="1" s="1"/>
  <c r="I53" i="1"/>
  <c r="I56" i="1" s="1"/>
  <c r="H53" i="1"/>
  <c r="H56" i="1" s="1"/>
  <c r="G53" i="1"/>
  <c r="G56" i="1" s="1"/>
  <c r="F53" i="1"/>
  <c r="F56" i="1" s="1"/>
  <c r="E53" i="1"/>
  <c r="E56" i="1" s="1"/>
  <c r="D53" i="1"/>
  <c r="D56" i="1" s="1"/>
  <c r="C53" i="1"/>
  <c r="C56" i="1" s="1"/>
  <c r="B53" i="1"/>
  <c r="B56" i="1" s="1"/>
  <c r="N47" i="1"/>
  <c r="O47" i="1" s="1"/>
  <c r="M39" i="1"/>
  <c r="L39" i="1"/>
  <c r="K39" i="1"/>
  <c r="I39" i="1"/>
  <c r="H39" i="1"/>
  <c r="G39" i="1"/>
  <c r="F39" i="1"/>
  <c r="E39" i="1"/>
  <c r="D39" i="1"/>
  <c r="C39" i="1"/>
  <c r="B39" i="1"/>
  <c r="N35" i="1"/>
  <c r="O35" i="1" s="1"/>
  <c r="N30" i="1"/>
  <c r="O30" i="1" s="1"/>
  <c r="M25" i="1"/>
  <c r="L25" i="1"/>
  <c r="K25" i="1"/>
  <c r="J25" i="1"/>
  <c r="I25" i="1"/>
  <c r="H25" i="1"/>
  <c r="G25" i="1"/>
  <c r="F25" i="1"/>
  <c r="E25" i="1"/>
  <c r="D25" i="1"/>
  <c r="C25" i="1"/>
  <c r="B25" i="1"/>
  <c r="C7" i="2"/>
  <c r="P171" i="1" l="1"/>
  <c r="P178" i="1" s="1"/>
  <c r="O178" i="1"/>
  <c r="O39" i="1"/>
  <c r="P47" i="1"/>
  <c r="P53" i="1" s="1"/>
  <c r="P56" i="1" s="1"/>
  <c r="O53" i="1"/>
  <c r="O56" i="1" s="1"/>
  <c r="O107" i="1"/>
  <c r="P78" i="1"/>
  <c r="P107" i="1" s="1"/>
  <c r="E178" i="1"/>
  <c r="I178" i="1"/>
  <c r="M178" i="1"/>
  <c r="D178" i="1"/>
  <c r="H178" i="1"/>
  <c r="L178" i="1"/>
  <c r="D135" i="1"/>
  <c r="H135" i="1"/>
  <c r="L135" i="1"/>
  <c r="E135" i="1"/>
  <c r="I135" i="1"/>
  <c r="M135" i="1"/>
  <c r="N60" i="1"/>
  <c r="O60" i="1" s="1"/>
  <c r="N64" i="1"/>
  <c r="O64" i="1" s="1"/>
  <c r="D72" i="1"/>
  <c r="H72" i="1"/>
  <c r="L72" i="1"/>
  <c r="M72" i="1"/>
  <c r="E72" i="1"/>
  <c r="I72" i="1"/>
  <c r="C72" i="1"/>
  <c r="G72" i="1"/>
  <c r="K72" i="1"/>
  <c r="J72" i="1"/>
  <c r="N105" i="1"/>
  <c r="N126" i="1"/>
  <c r="N191" i="1"/>
  <c r="N59" i="1"/>
  <c r="O59" i="1" s="1"/>
  <c r="N161" i="1"/>
  <c r="N58" i="1"/>
  <c r="O58" i="1" s="1"/>
  <c r="N57" i="1"/>
  <c r="N63" i="1"/>
  <c r="N155" i="1"/>
  <c r="N39" i="1"/>
  <c r="N88" i="1"/>
  <c r="N53" i="1"/>
  <c r="B72" i="1"/>
  <c r="N25" i="1"/>
  <c r="N214" i="1" l="1"/>
  <c r="N135" i="1"/>
  <c r="D216" i="1"/>
  <c r="G216" i="1"/>
  <c r="H216" i="1"/>
  <c r="E216" i="1"/>
  <c r="I216" i="1"/>
  <c r="N178" i="1"/>
  <c r="C216" i="1"/>
  <c r="K216" i="1"/>
  <c r="L216" i="1"/>
  <c r="J216" i="1"/>
  <c r="N107" i="1"/>
  <c r="M216" i="1"/>
  <c r="P72" i="1" l="1"/>
  <c r="P216" i="1" s="1"/>
  <c r="P252" i="1" s="1"/>
  <c r="O72" i="1"/>
  <c r="O216" i="1" s="1"/>
  <c r="O252" i="1" s="1"/>
  <c r="I252" i="1"/>
  <c r="E252" i="1"/>
  <c r="D252" i="1"/>
  <c r="M252" i="1"/>
  <c r="J252" i="1"/>
  <c r="G252" i="1"/>
  <c r="K252" i="1"/>
  <c r="H252" i="1"/>
  <c r="L252" i="1"/>
  <c r="C252" i="1"/>
  <c r="B216" i="1"/>
  <c r="B252" i="1" s="1"/>
  <c r="N56" i="1"/>
  <c r="F72" i="1"/>
  <c r="N72" i="1" s="1"/>
  <c r="N216" i="1" s="1"/>
  <c r="F216" i="1" l="1"/>
  <c r="F252" i="1" l="1"/>
  <c r="N252" i="1" l="1"/>
  <c r="H20" i="1"/>
  <c r="H41" i="1" s="1"/>
  <c r="H254" i="1" s="1"/>
  <c r="C20" i="1"/>
  <c r="C41" i="1" s="1"/>
  <c r="C254" i="1" s="1"/>
  <c r="I20" i="1" l="1"/>
  <c r="I41" i="1" s="1"/>
  <c r="I254" i="1" s="1"/>
  <c r="B20" i="1"/>
  <c r="B41" i="1" l="1"/>
  <c r="D20" i="1"/>
  <c r="D41" i="1" s="1"/>
  <c r="D254" i="1" s="1"/>
  <c r="J20" i="1"/>
  <c r="J41" i="1" s="1"/>
  <c r="J254" i="1" s="1"/>
  <c r="E20" i="1" l="1"/>
  <c r="E41" i="1" s="1"/>
  <c r="E254" i="1" s="1"/>
  <c r="K20" i="1"/>
  <c r="K41" i="1" s="1"/>
  <c r="K254" i="1" s="1"/>
  <c r="B254" i="1"/>
  <c r="B256" i="1" s="1"/>
  <c r="C255" i="1" s="1"/>
  <c r="C256" i="1" s="1"/>
  <c r="D255" i="1" s="1"/>
  <c r="D256" i="1" s="1"/>
  <c r="E255" i="1" s="1"/>
  <c r="F20" i="1" l="1"/>
  <c r="G20" i="1"/>
  <c r="G41" i="1" s="1"/>
  <c r="G254" i="1" s="1"/>
  <c r="L20" i="1"/>
  <c r="L41" i="1" s="1"/>
  <c r="L254" i="1" s="1"/>
  <c r="M20" i="1"/>
  <c r="M41" i="1" s="1"/>
  <c r="M254" i="1" s="1"/>
  <c r="N15" i="1"/>
  <c r="E256" i="1"/>
  <c r="F255" i="1" s="1"/>
  <c r="O15" i="1" l="1"/>
  <c r="N257" i="1"/>
  <c r="F41" i="1"/>
  <c r="F254" i="1" s="1"/>
  <c r="N20" i="1"/>
  <c r="F256" i="1" l="1"/>
  <c r="G255" i="1" s="1"/>
  <c r="G256" i="1" s="1"/>
  <c r="H255" i="1" s="1"/>
  <c r="H256" i="1" s="1"/>
  <c r="I255" i="1" s="1"/>
  <c r="I256" i="1" s="1"/>
  <c r="J255" i="1" s="1"/>
  <c r="J256" i="1" s="1"/>
  <c r="K255" i="1" s="1"/>
  <c r="K256" i="1" s="1"/>
  <c r="L255" i="1" s="1"/>
  <c r="L256" i="1" s="1"/>
  <c r="M255" i="1" s="1"/>
  <c r="M256" i="1" s="1"/>
  <c r="N41" i="1"/>
  <c r="N254" i="1" s="1"/>
  <c r="O257" i="1"/>
  <c r="P15" i="1"/>
  <c r="O20" i="1"/>
  <c r="O41" i="1" s="1"/>
  <c r="O254" i="1" s="1"/>
  <c r="N256" i="1" l="1"/>
  <c r="P257" i="1"/>
  <c r="P20" i="1"/>
  <c r="P41" i="1" s="1"/>
  <c r="P254" i="1" s="1"/>
  <c r="N258" i="1" l="1"/>
  <c r="N260" i="1" s="1"/>
  <c r="O255" i="1"/>
  <c r="O256" i="1" s="1"/>
  <c r="P255" i="1" s="1"/>
  <c r="P256" i="1" s="1"/>
  <c r="P258" i="1" s="1"/>
  <c r="P260" i="1" s="1"/>
  <c r="O258" i="1" l="1"/>
  <c r="O260" i="1" s="1"/>
</calcChain>
</file>

<file path=xl/sharedStrings.xml><?xml version="1.0" encoding="utf-8"?>
<sst xmlns="http://schemas.openxmlformats.org/spreadsheetml/2006/main" count="213" uniqueCount="209">
  <si>
    <t>July</t>
  </si>
  <si>
    <t>August</t>
  </si>
  <si>
    <t>November</t>
  </si>
  <si>
    <t>September</t>
  </si>
  <si>
    <t>October</t>
  </si>
  <si>
    <t>December</t>
  </si>
  <si>
    <t>January</t>
  </si>
  <si>
    <t>March</t>
  </si>
  <si>
    <t>April</t>
  </si>
  <si>
    <t>May</t>
  </si>
  <si>
    <t>June</t>
  </si>
  <si>
    <t>Professional Services 0300000</t>
  </si>
  <si>
    <t>Purchased Property Sevices 0400000</t>
  </si>
  <si>
    <t>Repairs &amp; Maintenance 0430000</t>
  </si>
  <si>
    <t>Total Repairs &amp; Maintenance 0430000</t>
  </si>
  <si>
    <t>Salaries 0100000</t>
  </si>
  <si>
    <t>Total Salaries 0100000</t>
  </si>
  <si>
    <t>Employee Benefits 0200000</t>
  </si>
  <si>
    <t>Total Employee Benefits 0200000</t>
  </si>
  <si>
    <t>Total Conferences &amp; Conventions 0320000</t>
  </si>
  <si>
    <t>Total Other Professional Services 0320000</t>
  </si>
  <si>
    <t>Total Pofessional Services 0300000</t>
  </si>
  <si>
    <t>Total Professional Services 0300000</t>
  </si>
  <si>
    <t>Transportation 0510000</t>
  </si>
  <si>
    <t>Insurance 0520000</t>
  </si>
  <si>
    <t>Total Insurance 0520000</t>
  </si>
  <si>
    <t>Communications 0530000</t>
  </si>
  <si>
    <t>Advertising</t>
  </si>
  <si>
    <t>Supplies</t>
  </si>
  <si>
    <t>Total Supplies</t>
  </si>
  <si>
    <t>Total Advertising</t>
  </si>
  <si>
    <t>Buybacks</t>
  </si>
  <si>
    <t>Total Books &amp; Periodicals</t>
  </si>
  <si>
    <t>Income</t>
  </si>
  <si>
    <t>District 11 PPR Funding 2000000</t>
  </si>
  <si>
    <t>Total District 11 PPR Funding 2000000</t>
  </si>
  <si>
    <t>Federal income sources</t>
  </si>
  <si>
    <t>Total Federal/state Income Sources</t>
  </si>
  <si>
    <t>Total Income</t>
  </si>
  <si>
    <t xml:space="preserve">Conferences &amp; Conventions </t>
  </si>
  <si>
    <t xml:space="preserve">0321000 Conferences &amp; Conventions </t>
  </si>
  <si>
    <t xml:space="preserve">0100200  Teachers </t>
  </si>
  <si>
    <t>0100203  Teachers Substitutes</t>
  </si>
  <si>
    <t>0110002  Janitor</t>
  </si>
  <si>
    <t>0200001 State Unemployment Ins.</t>
  </si>
  <si>
    <t>0221200  Teachers</t>
  </si>
  <si>
    <t xml:space="preserve">0221203  Medicare Substitute Teachers </t>
  </si>
  <si>
    <t>0221500  Medicare Office/ Admin</t>
  </si>
  <si>
    <t>0230200  PERA Teachers</t>
  </si>
  <si>
    <t>0230203  PERA Substitute Teachers</t>
  </si>
  <si>
    <t>0230500  PERA Office/ Admin</t>
  </si>
  <si>
    <t>023        PERA Janitor</t>
  </si>
  <si>
    <t xml:space="preserve">0313000  Bank Service Charges      </t>
  </si>
  <si>
    <t>0331000  Legal Services</t>
  </si>
  <si>
    <t>0332000  Audit Services</t>
  </si>
  <si>
    <t xml:space="preserve">                 Counselor</t>
  </si>
  <si>
    <t xml:space="preserve">                  Speech</t>
  </si>
  <si>
    <t xml:space="preserve">                  Nurse</t>
  </si>
  <si>
    <t>0339001  Bookkeeping Services</t>
  </si>
  <si>
    <t>0322000  Education &amp; Seminars</t>
  </si>
  <si>
    <t>0323000  Meeting Expenses</t>
  </si>
  <si>
    <t>0324000  Board Education</t>
  </si>
  <si>
    <t>0410000  Sewer &amp; Water</t>
  </si>
  <si>
    <t>0421000  Trash Removal</t>
  </si>
  <si>
    <t>0521000  Liability Insurance</t>
  </si>
  <si>
    <t>0522000  Property Insurance</t>
  </si>
  <si>
    <t xml:space="preserve">0530003  Postage </t>
  </si>
  <si>
    <t xml:space="preserve">0530004  Online Services </t>
  </si>
  <si>
    <t>0540000  Advertising</t>
  </si>
  <si>
    <t>0594         Buyback GF</t>
  </si>
  <si>
    <t>05941      Buyback  Capital Resserve</t>
  </si>
  <si>
    <t>0595         2% Admin Fee</t>
  </si>
  <si>
    <t>0610000  Office Supplies</t>
  </si>
  <si>
    <t>0610001  Janitorial Supplies</t>
  </si>
  <si>
    <t>0621000  Gas Utility Service</t>
  </si>
  <si>
    <t>0626000  Vehicle Fuels</t>
  </si>
  <si>
    <t xml:space="preserve">0690000  Other Supplies </t>
  </si>
  <si>
    <t xml:space="preserve">February </t>
  </si>
  <si>
    <t>2130000  Flow Thru of ECEA 3130</t>
  </si>
  <si>
    <t>2350000  Gifted &amp; Talented</t>
  </si>
  <si>
    <t>2400003  Title VI-B IDEA 4027</t>
  </si>
  <si>
    <t xml:space="preserve">4020000  Flow Thru Impact AID Relief </t>
  </si>
  <si>
    <t>5710000  PPR</t>
  </si>
  <si>
    <t>0526000  Workmens Compensation Ins</t>
  </si>
  <si>
    <t>0430002  Equipment Repairs &amp; Maint</t>
  </si>
  <si>
    <t>0430004  Vehicle Repairs &amp; Maint</t>
  </si>
  <si>
    <t>0430005  Computer Repairs &amp; Maint</t>
  </si>
  <si>
    <t>Professional Educational Svs. 0320000</t>
  </si>
  <si>
    <t xml:space="preserve">3000000  D 11 Capital FUND- State </t>
  </si>
  <si>
    <t xml:space="preserve">1700000  Special Project Income </t>
  </si>
  <si>
    <t>1700200 SP-Unrestricted Income</t>
  </si>
  <si>
    <t>1700600  SP Cheerleading</t>
  </si>
  <si>
    <t>Total 170000  Special Project Income</t>
  </si>
  <si>
    <t>Other Expense</t>
  </si>
  <si>
    <t>0900000 Special Project Expense</t>
  </si>
  <si>
    <t>0900200   SP-Unrestricted  Income</t>
  </si>
  <si>
    <t>0900300  SP Yearbooks</t>
  </si>
  <si>
    <t>0900600  SP-Cheerleading</t>
  </si>
  <si>
    <t>0900000 Total Special Project</t>
  </si>
  <si>
    <t>Local Source Income</t>
  </si>
  <si>
    <t>MLO</t>
  </si>
  <si>
    <t xml:space="preserve">Income Special Projects </t>
  </si>
  <si>
    <t xml:space="preserve">Intermediate Sources </t>
  </si>
  <si>
    <t>We do not have at this time</t>
  </si>
  <si>
    <t xml:space="preserve">State Sources </t>
  </si>
  <si>
    <t>PPR</t>
  </si>
  <si>
    <t xml:space="preserve">Flow Thru ELPA </t>
  </si>
  <si>
    <t>Total Communications</t>
  </si>
  <si>
    <t>Total Buybacks</t>
  </si>
  <si>
    <t xml:space="preserve">Total Purchased Property </t>
  </si>
  <si>
    <t xml:space="preserve"> </t>
  </si>
  <si>
    <t>Background Check Services</t>
  </si>
  <si>
    <t>READ ACT</t>
  </si>
  <si>
    <t>Field Trips K-6</t>
  </si>
  <si>
    <t>Fundraising</t>
  </si>
  <si>
    <t>Yearbooks</t>
  </si>
  <si>
    <t>Tshirts</t>
  </si>
  <si>
    <t>Planners</t>
  </si>
  <si>
    <t>0100500 Administration</t>
  </si>
  <si>
    <t>EXPENSES</t>
  </si>
  <si>
    <t>Bank Card Processing fees</t>
  </si>
  <si>
    <t>Buyback Property Insurance</t>
  </si>
  <si>
    <t xml:space="preserve">Technology </t>
  </si>
  <si>
    <t xml:space="preserve">05300000 Communications Other </t>
  </si>
  <si>
    <t xml:space="preserve">0200000- Other Emp benefits Payroll Fees </t>
  </si>
  <si>
    <t>SPED Teacher Contractor</t>
  </si>
  <si>
    <t>0493113 Capital Construction Funds</t>
  </si>
  <si>
    <t>Capital Construction Funds 0493113</t>
  </si>
  <si>
    <t xml:space="preserve">Total Capital Construction Funds </t>
  </si>
  <si>
    <t xml:space="preserve">Other Supplies </t>
  </si>
  <si>
    <t xml:space="preserve">Total Other Supplies </t>
  </si>
  <si>
    <t>0640000 Books &amp; Periodicals</t>
  </si>
  <si>
    <t>Books, Periodicals, Class Supplies</t>
  </si>
  <si>
    <t>1110000  District 11 Recurring MLO 2000</t>
  </si>
  <si>
    <t>1110000 District 11 Recurring MLO 2017</t>
  </si>
  <si>
    <t>Title II</t>
  </si>
  <si>
    <t>Title IV</t>
  </si>
  <si>
    <t>0600010 Title IV Supplies</t>
  </si>
  <si>
    <t xml:space="preserve">Board Expenses </t>
  </si>
  <si>
    <t>COBRA Administration</t>
  </si>
  <si>
    <t xml:space="preserve">Copiers and Printing </t>
  </si>
  <si>
    <t>Copy Fees 0551000</t>
  </si>
  <si>
    <t>Total Copiers and Printing</t>
  </si>
  <si>
    <t xml:space="preserve">0735001  Small Equipment </t>
  </si>
  <si>
    <t>After care program salaries</t>
  </si>
  <si>
    <t>022      Medicare Aftercare</t>
  </si>
  <si>
    <t>022      Medicare Janitor</t>
  </si>
  <si>
    <t xml:space="preserve">023     PERA After Care </t>
  </si>
  <si>
    <t xml:space="preserve">Staff Bonus </t>
  </si>
  <si>
    <r>
      <t xml:space="preserve">0321011  </t>
    </r>
    <r>
      <rPr>
        <sz val="9"/>
        <color rgb="FFFF0000"/>
        <rFont val="Arial"/>
        <family val="2"/>
      </rPr>
      <t>MLO Professional Dev</t>
    </r>
  </si>
  <si>
    <r>
      <t xml:space="preserve">0640011  </t>
    </r>
    <r>
      <rPr>
        <sz val="9"/>
        <color rgb="FFFF0000"/>
        <rFont val="Arial"/>
        <family val="2"/>
      </rPr>
      <t>Textbooks MLO</t>
    </r>
  </si>
  <si>
    <r>
      <t xml:space="preserve">0660021  </t>
    </r>
    <r>
      <rPr>
        <sz val="9"/>
        <color rgb="FFFF0000"/>
        <rFont val="Arial"/>
        <family val="2"/>
      </rPr>
      <t xml:space="preserve">Classroom Supplies MLO </t>
    </r>
  </si>
  <si>
    <t>Medicare Staff Bonus</t>
  </si>
  <si>
    <t>0251200  Health Insurance-Staff</t>
  </si>
  <si>
    <t>0441  Building Rent</t>
  </si>
  <si>
    <t>Internet Services</t>
  </si>
  <si>
    <t>Phone Services</t>
  </si>
  <si>
    <t>has not been finalized yet.  Nor have Expenses</t>
  </si>
  <si>
    <t>Board Meeting Expenses</t>
  </si>
  <si>
    <t>0622000  Electricity Utility Service (CAM fee)</t>
  </si>
  <si>
    <t xml:space="preserve">05943 Spring Creek fees </t>
  </si>
  <si>
    <t xml:space="preserve">IT Services </t>
  </si>
  <si>
    <t xml:space="preserve">PTO Payments </t>
  </si>
  <si>
    <t>Other Expenses - Major Items</t>
  </si>
  <si>
    <t>Moving Expenses</t>
  </si>
  <si>
    <t>IT Setup Services</t>
  </si>
  <si>
    <t>Flooring Expenses</t>
  </si>
  <si>
    <t>Total Expenses</t>
  </si>
  <si>
    <t>Total Other Major Expenses</t>
  </si>
  <si>
    <t>Net Income</t>
  </si>
  <si>
    <t>Beginning Fund Balance</t>
  </si>
  <si>
    <t>Ending Fund Balance</t>
  </si>
  <si>
    <t>Playground</t>
  </si>
  <si>
    <t>610002 Principal's Discretionary</t>
  </si>
  <si>
    <t>Washer/Dryer/TVs/Whiteboards/air purifiers</t>
  </si>
  <si>
    <t>Ending TABOR</t>
  </si>
  <si>
    <t>Ending Unreserved Fund Balance</t>
  </si>
  <si>
    <t>2022-23</t>
  </si>
  <si>
    <t>2021-22</t>
  </si>
  <si>
    <t xml:space="preserve">Total Student Count </t>
  </si>
  <si>
    <t>Total Purchased Property Services 0400</t>
  </si>
  <si>
    <t>Total Other Purchased Services 0500</t>
  </si>
  <si>
    <t>Total Supplies 0600-0900</t>
  </si>
  <si>
    <t>Total Operating Expense</t>
  </si>
  <si>
    <t>0/12</t>
  </si>
  <si>
    <t>Building Construction</t>
  </si>
  <si>
    <t>ESSER Funding</t>
  </si>
  <si>
    <t>Unreserved Fund Balance % of Operating Expenses</t>
  </si>
  <si>
    <t xml:space="preserve">Over 17% is good.  </t>
  </si>
  <si>
    <t>Refund of Assets at Alpine Place</t>
  </si>
  <si>
    <t>0600280 Technology Supplies</t>
  </si>
  <si>
    <t>06031  Classroom Supplies - Non-Grant</t>
  </si>
  <si>
    <t>0610011 Janitorial Supplies COVID</t>
  </si>
  <si>
    <t>0640001 Curriculum - CRF</t>
  </si>
  <si>
    <t>0735002  Small Equipment COVID</t>
  </si>
  <si>
    <t>07310001 Furniture</t>
  </si>
  <si>
    <t>Return to Learning Grant</t>
  </si>
  <si>
    <t>ESSER Technology</t>
  </si>
  <si>
    <t>5 laptops</t>
  </si>
  <si>
    <t>CRF Funding</t>
  </si>
  <si>
    <t>School 3 year projection  created Year 2021-2022</t>
  </si>
  <si>
    <t>2023-24</t>
  </si>
  <si>
    <t>PPR For 2021-22</t>
  </si>
  <si>
    <t>MLO Revenue 1990000</t>
  </si>
  <si>
    <t>0420000 Janitorial Service</t>
  </si>
  <si>
    <t>Total MILO Revenue</t>
  </si>
  <si>
    <t>Consulting</t>
  </si>
  <si>
    <t>0442 Storage Rental</t>
  </si>
  <si>
    <t>0339011 Before / After 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</si>
</sst>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9"/>
      <color rgb="FFFF0000"/>
      <name val="Arial Narrow"/>
      <family val="2"/>
    </font>
    <font>
      <sz val="9"/>
      <name val="Arial Narrow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36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 val="singleAccounting"/>
      <sz val="11"/>
      <color theme="1"/>
      <name val="Arial"/>
      <family val="2"/>
    </font>
    <font>
      <sz val="11"/>
      <color theme="0" tint="-4.9989318521683403E-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6">
    <xf numFmtId="0" fontId="0" fillId="0" borderId="0" xfId="0"/>
    <xf numFmtId="44" fontId="0" fillId="0" borderId="0" xfId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44" fontId="4" fillId="0" borderId="0" xfId="1" applyFont="1"/>
    <xf numFmtId="44" fontId="5" fillId="0" borderId="0" xfId="1" applyFont="1"/>
    <xf numFmtId="44" fontId="6" fillId="0" borderId="0" xfId="1" applyFont="1"/>
    <xf numFmtId="0" fontId="6" fillId="0" borderId="0" xfId="0" applyFont="1"/>
    <xf numFmtId="0" fontId="5" fillId="0" borderId="0" xfId="0" applyFont="1"/>
    <xf numFmtId="0" fontId="6" fillId="6" borderId="0" xfId="0" applyFont="1" applyFill="1"/>
    <xf numFmtId="44" fontId="6" fillId="0" borderId="0" xfId="0" applyNumberFormat="1" applyFont="1"/>
    <xf numFmtId="44" fontId="1" fillId="10" borderId="0" xfId="1" applyFont="1" applyFill="1"/>
    <xf numFmtId="44" fontId="0" fillId="0" borderId="0" xfId="0" applyNumberFormat="1"/>
    <xf numFmtId="0" fontId="0" fillId="6" borderId="0" xfId="0" applyFill="1"/>
    <xf numFmtId="2" fontId="6" fillId="0" borderId="0" xfId="0" applyNumberFormat="1" applyFont="1"/>
    <xf numFmtId="0" fontId="9" fillId="0" borderId="0" xfId="0" applyFont="1"/>
    <xf numFmtId="44" fontId="9" fillId="0" borderId="0" xfId="1" applyFont="1"/>
    <xf numFmtId="44" fontId="4" fillId="6" borderId="0" xfId="1" applyFont="1" applyFill="1"/>
    <xf numFmtId="0" fontId="4" fillId="2" borderId="0" xfId="0" applyFont="1" applyFill="1"/>
    <xf numFmtId="44" fontId="4" fillId="2" borderId="0" xfId="1" applyFont="1" applyFill="1"/>
    <xf numFmtId="49" fontId="4" fillId="2" borderId="0" xfId="0" applyNumberFormat="1" applyFont="1" applyFill="1"/>
    <xf numFmtId="0" fontId="9" fillId="2" borderId="0" xfId="0" applyFont="1" applyFill="1"/>
    <xf numFmtId="44" fontId="9" fillId="2" borderId="0" xfId="1" applyFont="1" applyFill="1"/>
    <xf numFmtId="49" fontId="4" fillId="0" borderId="0" xfId="1" applyNumberFormat="1" applyFont="1"/>
    <xf numFmtId="44" fontId="4" fillId="5" borderId="0" xfId="1" applyFont="1" applyFill="1"/>
    <xf numFmtId="0" fontId="4" fillId="4" borderId="0" xfId="0" applyFont="1" applyFill="1"/>
    <xf numFmtId="44" fontId="4" fillId="4" borderId="0" xfId="1" applyFont="1" applyFill="1"/>
    <xf numFmtId="49" fontId="4" fillId="4" borderId="0" xfId="0" applyNumberFormat="1" applyFont="1" applyFill="1"/>
    <xf numFmtId="44" fontId="4" fillId="0" borderId="0" xfId="0" applyNumberFormat="1" applyFont="1"/>
    <xf numFmtId="0" fontId="9" fillId="4" borderId="0" xfId="0" applyFont="1" applyFill="1"/>
    <xf numFmtId="44" fontId="9" fillId="4" borderId="0" xfId="1" applyFont="1" applyFill="1"/>
    <xf numFmtId="0" fontId="4" fillId="3" borderId="0" xfId="0" applyFont="1" applyFill="1"/>
    <xf numFmtId="44" fontId="4" fillId="3" borderId="0" xfId="1" applyFont="1" applyFill="1"/>
    <xf numFmtId="49" fontId="4" fillId="3" borderId="0" xfId="0" applyNumberFormat="1" applyFont="1" applyFill="1"/>
    <xf numFmtId="0" fontId="9" fillId="3" borderId="0" xfId="0" applyFont="1" applyFill="1"/>
    <xf numFmtId="44" fontId="9" fillId="3" borderId="0" xfId="1" applyFont="1" applyFill="1"/>
    <xf numFmtId="0" fontId="4" fillId="7" borderId="0" xfId="0" applyFont="1" applyFill="1"/>
    <xf numFmtId="44" fontId="4" fillId="7" borderId="0" xfId="1" applyFont="1" applyFill="1"/>
    <xf numFmtId="49" fontId="4" fillId="7" borderId="0" xfId="0" applyNumberFormat="1" applyFont="1" applyFill="1"/>
    <xf numFmtId="44" fontId="9" fillId="7" borderId="0" xfId="1" applyFont="1" applyFill="1"/>
    <xf numFmtId="0" fontId="4" fillId="8" borderId="0" xfId="0" applyFont="1" applyFill="1"/>
    <xf numFmtId="44" fontId="4" fillId="8" borderId="0" xfId="1" applyFont="1" applyFill="1"/>
    <xf numFmtId="49" fontId="4" fillId="8" borderId="0" xfId="0" applyNumberFormat="1" applyFont="1" applyFill="1"/>
    <xf numFmtId="0" fontId="9" fillId="8" borderId="0" xfId="0" applyFont="1" applyFill="1"/>
    <xf numFmtId="44" fontId="9" fillId="8" borderId="0" xfId="1" applyFont="1" applyFill="1"/>
    <xf numFmtId="0" fontId="4" fillId="6" borderId="0" xfId="0" applyFont="1" applyFill="1"/>
    <xf numFmtId="0" fontId="4" fillId="11" borderId="0" xfId="0" applyFont="1" applyFill="1"/>
    <xf numFmtId="44" fontId="4" fillId="11" borderId="0" xfId="1" applyFont="1" applyFill="1"/>
    <xf numFmtId="0" fontId="11" fillId="0" borderId="0" xfId="0" applyFont="1"/>
    <xf numFmtId="44" fontId="11" fillId="0" borderId="0" xfId="1" applyFont="1"/>
    <xf numFmtId="0" fontId="4" fillId="5" borderId="0" xfId="0" applyFont="1" applyFill="1"/>
    <xf numFmtId="49" fontId="4" fillId="5" borderId="0" xfId="0" applyNumberFormat="1" applyFont="1" applyFill="1"/>
    <xf numFmtId="0" fontId="12" fillId="0" borderId="0" xfId="0" applyFont="1"/>
    <xf numFmtId="44" fontId="9" fillId="0" borderId="0" xfId="1" applyFont="1" applyAlignment="1">
      <alignment horizontal="center"/>
    </xf>
    <xf numFmtId="9" fontId="13" fillId="0" borderId="0" xfId="0" applyNumberFormat="1" applyFont="1"/>
    <xf numFmtId="0" fontId="4" fillId="8" borderId="0" xfId="0" quotePrefix="1" applyFont="1" applyFill="1"/>
    <xf numFmtId="164" fontId="9" fillId="0" borderId="0" xfId="2" applyNumberFormat="1" applyFont="1"/>
    <xf numFmtId="164" fontId="6" fillId="0" borderId="0" xfId="2" applyNumberFormat="1" applyFont="1"/>
    <xf numFmtId="164" fontId="9" fillId="0" borderId="0" xfId="2" applyNumberFormat="1" applyFont="1" applyAlignment="1">
      <alignment horizontal="center"/>
    </xf>
    <xf numFmtId="164" fontId="0" fillId="0" borderId="0" xfId="2" applyNumberFormat="1" applyFont="1"/>
    <xf numFmtId="164" fontId="4" fillId="0" borderId="0" xfId="2" applyNumberFormat="1" applyFont="1"/>
    <xf numFmtId="164" fontId="7" fillId="6" borderId="0" xfId="2" applyNumberFormat="1" applyFont="1" applyFill="1"/>
    <xf numFmtId="164" fontId="4" fillId="6" borderId="0" xfId="2" applyNumberFormat="1" applyFont="1" applyFill="1"/>
    <xf numFmtId="164" fontId="6" fillId="6" borderId="0" xfId="2" applyNumberFormat="1" applyFont="1" applyFill="1"/>
    <xf numFmtId="164" fontId="4" fillId="5" borderId="0" xfId="2" applyNumberFormat="1" applyFont="1" applyFill="1"/>
    <xf numFmtId="164" fontId="5" fillId="0" borderId="0" xfId="2" applyNumberFormat="1" applyFont="1"/>
    <xf numFmtId="164" fontId="4" fillId="2" borderId="0" xfId="2" applyNumberFormat="1" applyFont="1" applyFill="1"/>
    <xf numFmtId="164" fontId="9" fillId="2" borderId="0" xfId="2" applyNumberFormat="1" applyFont="1" applyFill="1"/>
    <xf numFmtId="164" fontId="0" fillId="6" borderId="0" xfId="2" applyNumberFormat="1" applyFont="1" applyFill="1"/>
    <xf numFmtId="164" fontId="4" fillId="4" borderId="0" xfId="2" applyNumberFormat="1" applyFont="1" applyFill="1"/>
    <xf numFmtId="164" fontId="0" fillId="5" borderId="0" xfId="2" applyNumberFormat="1" applyFont="1" applyFill="1"/>
    <xf numFmtId="164" fontId="9" fillId="4" borderId="0" xfId="2" applyNumberFormat="1" applyFont="1" applyFill="1"/>
    <xf numFmtId="164" fontId="4" fillId="3" borderId="0" xfId="2" applyNumberFormat="1" applyFont="1" applyFill="1"/>
    <xf numFmtId="164" fontId="7" fillId="0" borderId="0" xfId="2" applyNumberFormat="1" applyFont="1"/>
    <xf numFmtId="164" fontId="9" fillId="3" borderId="0" xfId="2" applyNumberFormat="1" applyFont="1" applyFill="1"/>
    <xf numFmtId="164" fontId="4" fillId="7" borderId="0" xfId="2" applyNumberFormat="1" applyFont="1" applyFill="1"/>
    <xf numFmtId="164" fontId="8" fillId="6" borderId="0" xfId="2" applyNumberFormat="1" applyFont="1" applyFill="1"/>
    <xf numFmtId="164" fontId="9" fillId="7" borderId="0" xfId="2" applyNumberFormat="1" applyFont="1" applyFill="1"/>
    <xf numFmtId="164" fontId="4" fillId="8" borderId="0" xfId="2" applyNumberFormat="1" applyFont="1" applyFill="1"/>
    <xf numFmtId="164" fontId="9" fillId="8" borderId="0" xfId="2" applyNumberFormat="1" applyFont="1" applyFill="1"/>
    <xf numFmtId="164" fontId="4" fillId="11" borderId="0" xfId="2" applyNumberFormat="1" applyFont="1" applyFill="1"/>
    <xf numFmtId="164" fontId="14" fillId="0" borderId="0" xfId="2" applyNumberFormat="1" applyFont="1" applyAlignment="1">
      <alignment horizontal="center"/>
    </xf>
    <xf numFmtId="44" fontId="9" fillId="0" borderId="0" xfId="1" applyNumberFormat="1" applyFont="1" applyFill="1" applyAlignment="1">
      <alignment horizontal="left"/>
    </xf>
    <xf numFmtId="44" fontId="9" fillId="0" borderId="0" xfId="1" applyFont="1" applyFill="1"/>
    <xf numFmtId="164" fontId="14" fillId="0" borderId="0" xfId="2" applyNumberFormat="1" applyFont="1" applyFill="1" applyAlignment="1">
      <alignment horizontal="center"/>
    </xf>
    <xf numFmtId="0" fontId="9" fillId="0" borderId="0" xfId="0" applyFont="1" applyFill="1"/>
    <xf numFmtId="44" fontId="4" fillId="0" borderId="0" xfId="1" applyFont="1" applyFill="1"/>
    <xf numFmtId="164" fontId="9" fillId="0" borderId="0" xfId="2" applyNumberFormat="1" applyFont="1" applyFill="1" applyAlignment="1">
      <alignment horizontal="center"/>
    </xf>
    <xf numFmtId="0" fontId="4" fillId="0" borderId="0" xfId="0" applyFont="1" applyFill="1"/>
    <xf numFmtId="164" fontId="4" fillId="0" borderId="0" xfId="2" applyNumberFormat="1" applyFont="1" applyFill="1"/>
    <xf numFmtId="49" fontId="4" fillId="0" borderId="0" xfId="0" applyNumberFormat="1" applyFont="1" applyFill="1"/>
    <xf numFmtId="164" fontId="9" fillId="0" borderId="0" xfId="2" applyNumberFormat="1" applyFont="1" applyFill="1"/>
    <xf numFmtId="49" fontId="9" fillId="0" borderId="0" xfId="0" applyNumberFormat="1" applyFont="1" applyFill="1"/>
    <xf numFmtId="0" fontId="9" fillId="12" borderId="1" xfId="0" applyFont="1" applyFill="1" applyBorder="1"/>
    <xf numFmtId="44" fontId="9" fillId="12" borderId="2" xfId="1" applyFont="1" applyFill="1" applyBorder="1"/>
    <xf numFmtId="164" fontId="9" fillId="12" borderId="2" xfId="2" applyNumberFormat="1" applyFont="1" applyFill="1" applyBorder="1"/>
    <xf numFmtId="164" fontId="5" fillId="12" borderId="2" xfId="2" applyNumberFormat="1" applyFont="1" applyFill="1" applyBorder="1"/>
    <xf numFmtId="164" fontId="5" fillId="12" borderId="3" xfId="2" applyNumberFormat="1" applyFont="1" applyFill="1" applyBorder="1"/>
    <xf numFmtId="0" fontId="9" fillId="13" borderId="1" xfId="0" applyFont="1" applyFill="1" applyBorder="1"/>
    <xf numFmtId="44" fontId="9" fillId="13" borderId="2" xfId="1" applyFont="1" applyFill="1" applyBorder="1"/>
    <xf numFmtId="164" fontId="9" fillId="13" borderId="2" xfId="2" applyNumberFormat="1" applyFont="1" applyFill="1" applyBorder="1"/>
    <xf numFmtId="164" fontId="9" fillId="13" borderId="3" xfId="2" applyNumberFormat="1" applyFont="1" applyFill="1" applyBorder="1"/>
    <xf numFmtId="0" fontId="6" fillId="0" borderId="0" xfId="0" applyFont="1" applyFill="1"/>
    <xf numFmtId="44" fontId="6" fillId="0" borderId="0" xfId="1" applyFont="1" applyFill="1"/>
    <xf numFmtId="164" fontId="6" fillId="0" borderId="0" xfId="2" applyNumberFormat="1" applyFont="1" applyFill="1"/>
    <xf numFmtId="0" fontId="6" fillId="9" borderId="1" xfId="0" applyFont="1" applyFill="1" applyBorder="1"/>
    <xf numFmtId="44" fontId="6" fillId="9" borderId="2" xfId="1" applyFont="1" applyFill="1" applyBorder="1"/>
    <xf numFmtId="164" fontId="9" fillId="9" borderId="2" xfId="2" applyNumberFormat="1" applyFont="1" applyFill="1" applyBorder="1"/>
    <xf numFmtId="164" fontId="9" fillId="9" borderId="3" xfId="2" applyNumberFormat="1" applyFont="1" applyFill="1" applyBorder="1"/>
    <xf numFmtId="0" fontId="5" fillId="3" borderId="1" xfId="0" applyFont="1" applyFill="1" applyBorder="1"/>
    <xf numFmtId="44" fontId="5" fillId="3" borderId="2" xfId="1" applyFont="1" applyFill="1" applyBorder="1"/>
    <xf numFmtId="164" fontId="5" fillId="3" borderId="2" xfId="2" applyNumberFormat="1" applyFont="1" applyFill="1" applyBorder="1"/>
    <xf numFmtId="164" fontId="5" fillId="3" borderId="3" xfId="2" applyNumberFormat="1" applyFont="1" applyFill="1" applyBorder="1"/>
    <xf numFmtId="164" fontId="6" fillId="0" borderId="0" xfId="0" applyNumberFormat="1" applyFont="1"/>
    <xf numFmtId="43" fontId="6" fillId="0" borderId="0" xfId="0" applyNumberFormat="1" applyFont="1"/>
    <xf numFmtId="43" fontId="0" fillId="0" borderId="0" xfId="2" applyFont="1"/>
    <xf numFmtId="0" fontId="15" fillId="0" borderId="0" xfId="0" applyFont="1"/>
    <xf numFmtId="43" fontId="0" fillId="0" borderId="0" xfId="0" applyNumberFormat="1"/>
    <xf numFmtId="0" fontId="9" fillId="5" borderId="1" xfId="0" applyFont="1" applyFill="1" applyBorder="1"/>
    <xf numFmtId="44" fontId="9" fillId="5" borderId="2" xfId="1" applyFont="1" applyFill="1" applyBorder="1"/>
    <xf numFmtId="164" fontId="9" fillId="5" borderId="2" xfId="2" applyNumberFormat="1" applyFont="1" applyFill="1" applyBorder="1" applyAlignment="1">
      <alignment horizontal="center"/>
    </xf>
    <xf numFmtId="164" fontId="5" fillId="5" borderId="2" xfId="2" applyNumberFormat="1" applyFont="1" applyFill="1" applyBorder="1" applyAlignment="1">
      <alignment horizontal="center"/>
    </xf>
    <xf numFmtId="164" fontId="5" fillId="5" borderId="3" xfId="2" applyNumberFormat="1" applyFont="1" applyFill="1" applyBorder="1" applyAlignment="1">
      <alignment horizontal="center"/>
    </xf>
    <xf numFmtId="9" fontId="5" fillId="0" borderId="0" xfId="3" applyFont="1"/>
    <xf numFmtId="39" fontId="4" fillId="0" borderId="0" xfId="1" applyNumberFormat="1" applyFont="1" applyFill="1"/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51"/>
  <sheetViews>
    <sheetView tabSelected="1" topLeftCell="A177" workbookViewId="0">
      <selection activeCell="B194" sqref="B194"/>
    </sheetView>
  </sheetViews>
  <sheetFormatPr defaultRowHeight="15" outlineLevelRow="1" x14ac:dyDescent="0.25"/>
  <cols>
    <col min="1" max="1" width="30.85546875" customWidth="1"/>
    <col min="2" max="2" width="15" style="1" customWidth="1"/>
    <col min="3" max="3" width="13.140625" style="1" customWidth="1"/>
    <col min="4" max="4" width="13.28515625" style="1" customWidth="1"/>
    <col min="5" max="5" width="12.85546875" style="1" customWidth="1"/>
    <col min="6" max="6" width="14.42578125" style="1" customWidth="1"/>
    <col min="7" max="7" width="13.5703125" style="1" customWidth="1"/>
    <col min="8" max="8" width="13.85546875" style="1" customWidth="1"/>
    <col min="9" max="9" width="12.42578125" style="1" customWidth="1"/>
    <col min="10" max="10" width="12.5703125" style="1" customWidth="1"/>
    <col min="11" max="11" width="12.42578125" style="1" customWidth="1"/>
    <col min="12" max="13" width="11.85546875" style="1" customWidth="1"/>
    <col min="14" max="14" width="14.42578125" style="60" customWidth="1"/>
    <col min="15" max="15" width="14.140625" style="60" bestFit="1" customWidth="1"/>
    <col min="16" max="16" width="11.140625" style="60" bestFit="1" customWidth="1"/>
    <col min="17" max="17" width="4.7109375" customWidth="1"/>
    <col min="18" max="18" width="13.42578125" bestFit="1" customWidth="1"/>
  </cols>
  <sheetData>
    <row r="1" spans="1:21" ht="12.75" customHeight="1" x14ac:dyDescent="0.7">
      <c r="A1" s="49"/>
      <c r="B1" s="50"/>
    </row>
    <row r="2" spans="1:21" ht="21.75" customHeight="1" x14ac:dyDescent="0.7">
      <c r="A2" s="55"/>
      <c r="B2" s="50"/>
    </row>
    <row r="3" spans="1:21" ht="24" hidden="1" customHeight="1" x14ac:dyDescent="0.7">
      <c r="A3" s="53"/>
      <c r="B3" s="50" t="s">
        <v>157</v>
      </c>
    </row>
    <row r="4" spans="1:21" hidden="1" x14ac:dyDescent="0.25">
      <c r="A4" s="53"/>
    </row>
    <row r="5" spans="1:21" hidden="1" x14ac:dyDescent="0.25"/>
    <row r="6" spans="1:21" hidden="1" x14ac:dyDescent="0.25"/>
    <row r="7" spans="1:21" x14ac:dyDescent="0.25">
      <c r="A7" s="4" t="s">
        <v>200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61"/>
    </row>
    <row r="8" spans="1:21" ht="15.75" thickBot="1" x14ac:dyDescent="0.3">
      <c r="A8" s="16" t="s">
        <v>33</v>
      </c>
      <c r="B8" s="54" t="s">
        <v>0</v>
      </c>
      <c r="C8" s="54" t="s">
        <v>1</v>
      </c>
      <c r="D8" s="54" t="s">
        <v>3</v>
      </c>
      <c r="E8" s="54" t="s">
        <v>4</v>
      </c>
      <c r="F8" s="54" t="s">
        <v>2</v>
      </c>
      <c r="G8" s="54" t="s">
        <v>5</v>
      </c>
      <c r="H8" s="54" t="s">
        <v>6</v>
      </c>
      <c r="I8" s="54" t="s">
        <v>77</v>
      </c>
      <c r="J8" s="54" t="s">
        <v>7</v>
      </c>
      <c r="K8" s="54" t="s">
        <v>8</v>
      </c>
      <c r="L8" s="54" t="s">
        <v>9</v>
      </c>
      <c r="M8" s="54" t="s">
        <v>10</v>
      </c>
      <c r="N8" s="59"/>
      <c r="O8" s="58"/>
      <c r="P8" s="58"/>
      <c r="Q8" s="8"/>
    </row>
    <row r="9" spans="1:21" ht="15.75" thickBot="1" x14ac:dyDescent="0.3">
      <c r="A9" s="119" t="s">
        <v>179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1">
        <v>130</v>
      </c>
      <c r="O9" s="122">
        <v>140</v>
      </c>
      <c r="P9" s="123">
        <v>155</v>
      </c>
      <c r="Q9" s="8"/>
    </row>
    <row r="10" spans="1:21" x14ac:dyDescent="0.25">
      <c r="A10" s="16" t="s">
        <v>202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57"/>
      <c r="O10" s="62"/>
      <c r="P10" s="62"/>
      <c r="Q10" s="8"/>
    </row>
    <row r="11" spans="1:21" ht="19.5" x14ac:dyDescent="0.55000000000000004">
      <c r="A11" s="83">
        <f>7968.03*1.1</f>
        <v>8764.8330000000005</v>
      </c>
      <c r="B11" s="84" t="s">
        <v>110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5" t="s">
        <v>178</v>
      </c>
      <c r="O11" s="82" t="s">
        <v>177</v>
      </c>
      <c r="P11" s="82" t="s">
        <v>201</v>
      </c>
      <c r="Q11" s="8"/>
    </row>
    <row r="12" spans="1:21" x14ac:dyDescent="0.25">
      <c r="A12" s="86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8"/>
      <c r="O12" s="58"/>
      <c r="P12" s="58"/>
      <c r="Q12" s="8"/>
    </row>
    <row r="13" spans="1:21" outlineLevel="1" x14ac:dyDescent="0.25">
      <c r="A13" s="89" t="s">
        <v>203</v>
      </c>
      <c r="B13" s="87">
        <v>74.777777777777771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90"/>
      <c r="O13" s="58"/>
      <c r="P13" s="58"/>
      <c r="Q13" s="8"/>
    </row>
    <row r="14" spans="1:21" outlineLevel="1" x14ac:dyDescent="0.25">
      <c r="A14" s="89"/>
      <c r="B14" s="87">
        <v>153.15686274509804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90"/>
      <c r="O14" s="58"/>
      <c r="P14" s="58"/>
      <c r="Q14" s="8"/>
      <c r="R14" s="117"/>
    </row>
    <row r="15" spans="1:21" outlineLevel="1" x14ac:dyDescent="0.25">
      <c r="A15" s="91" t="s">
        <v>133</v>
      </c>
      <c r="B15" s="87">
        <f>$B$13*B22</f>
        <v>9721.1111111111095</v>
      </c>
      <c r="C15" s="87">
        <f t="shared" ref="C15:M15" si="0">$B$13*C22</f>
        <v>9721.1111111111095</v>
      </c>
      <c r="D15" s="87">
        <f t="shared" si="0"/>
        <v>9721.1111111111095</v>
      </c>
      <c r="E15" s="87">
        <f t="shared" si="0"/>
        <v>9721.1111111111095</v>
      </c>
      <c r="F15" s="87">
        <f t="shared" si="0"/>
        <v>9721.1111111111095</v>
      </c>
      <c r="G15" s="87">
        <f t="shared" si="0"/>
        <v>9721.1111111111095</v>
      </c>
      <c r="H15" s="87">
        <f t="shared" si="0"/>
        <v>9721.1111111111095</v>
      </c>
      <c r="I15" s="87">
        <f t="shared" si="0"/>
        <v>9721.1111111111095</v>
      </c>
      <c r="J15" s="87">
        <f t="shared" si="0"/>
        <v>9721.1111111111095</v>
      </c>
      <c r="K15" s="87">
        <f t="shared" si="0"/>
        <v>9721.1111111111095</v>
      </c>
      <c r="L15" s="87">
        <f t="shared" si="0"/>
        <v>9721.1111111111095</v>
      </c>
      <c r="M15" s="87">
        <f t="shared" si="0"/>
        <v>9721.1111111111095</v>
      </c>
      <c r="N15" s="90">
        <f>SUM(B15:M15)</f>
        <v>116653.33333333331</v>
      </c>
      <c r="O15" s="64">
        <f>N15/N9*O9</f>
        <v>125626.66666666664</v>
      </c>
      <c r="P15" s="64">
        <f>O15/O9*P9</f>
        <v>139086.66666666663</v>
      </c>
      <c r="Q15" s="8"/>
      <c r="R15" s="117">
        <v>144506</v>
      </c>
      <c r="U15" s="118"/>
    </row>
    <row r="16" spans="1:21" outlineLevel="1" x14ac:dyDescent="0.25">
      <c r="A16" s="91" t="s">
        <v>134</v>
      </c>
      <c r="B16" s="87">
        <f>$B$14*B22</f>
        <v>19910.392156862745</v>
      </c>
      <c r="C16" s="87">
        <f t="shared" ref="C16:M16" si="1">$B$14*C22</f>
        <v>19910.392156862745</v>
      </c>
      <c r="D16" s="87">
        <f t="shared" si="1"/>
        <v>19910.392156862745</v>
      </c>
      <c r="E16" s="87">
        <f t="shared" si="1"/>
        <v>19910.392156862745</v>
      </c>
      <c r="F16" s="87">
        <f t="shared" si="1"/>
        <v>19910.392156862745</v>
      </c>
      <c r="G16" s="87">
        <f t="shared" si="1"/>
        <v>19910.392156862745</v>
      </c>
      <c r="H16" s="87">
        <f t="shared" si="1"/>
        <v>19910.392156862745</v>
      </c>
      <c r="I16" s="87">
        <f t="shared" si="1"/>
        <v>19910.392156862745</v>
      </c>
      <c r="J16" s="87">
        <f t="shared" si="1"/>
        <v>19910.392156862745</v>
      </c>
      <c r="K16" s="87">
        <f t="shared" si="1"/>
        <v>19910.392156862745</v>
      </c>
      <c r="L16" s="87">
        <f t="shared" si="1"/>
        <v>19910.392156862745</v>
      </c>
      <c r="M16" s="87">
        <f t="shared" si="1"/>
        <v>19910.392156862745</v>
      </c>
      <c r="N16" s="90">
        <f>SUM(B16:M16)</f>
        <v>238924.70588235292</v>
      </c>
      <c r="O16" s="64">
        <f>N16/N9*O9</f>
        <v>257303.5294117647</v>
      </c>
      <c r="P16" s="64">
        <f>O16/O9*P9</f>
        <v>284871.76470588235</v>
      </c>
      <c r="Q16" s="8"/>
      <c r="R16" s="117">
        <v>295556</v>
      </c>
      <c r="U16" s="118"/>
    </row>
    <row r="17" spans="1:18" outlineLevel="1" x14ac:dyDescent="0.25">
      <c r="A17" s="91" t="s">
        <v>112</v>
      </c>
      <c r="B17" s="87"/>
      <c r="C17" s="87"/>
      <c r="D17" s="87"/>
      <c r="E17" s="87"/>
      <c r="F17" s="87"/>
      <c r="G17" s="87"/>
      <c r="H17" s="87">
        <v>5232</v>
      </c>
      <c r="I17" s="87"/>
      <c r="J17" s="87"/>
      <c r="K17" s="87"/>
      <c r="L17" s="87"/>
      <c r="M17" s="87"/>
      <c r="N17" s="90">
        <f>SUM(B17:M17)</f>
        <v>5232</v>
      </c>
      <c r="O17" s="64">
        <v>5200</v>
      </c>
      <c r="P17" s="58">
        <v>9000</v>
      </c>
      <c r="Q17" s="15"/>
      <c r="R17" s="117"/>
    </row>
    <row r="18" spans="1:18" outlineLevel="1" x14ac:dyDescent="0.25">
      <c r="A18" s="91" t="s">
        <v>189</v>
      </c>
      <c r="B18" s="87"/>
      <c r="C18" s="87">
        <v>0</v>
      </c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90">
        <f>SUM(B18:M18)</f>
        <v>0</v>
      </c>
      <c r="O18" s="64"/>
      <c r="P18" s="58"/>
      <c r="Q18" s="8"/>
    </row>
    <row r="19" spans="1:18" outlineLevel="1" x14ac:dyDescent="0.25">
      <c r="A19" s="89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90"/>
      <c r="O19" s="64"/>
      <c r="P19" s="58"/>
      <c r="Q19" s="15"/>
    </row>
    <row r="20" spans="1:18" s="2" customFormat="1" x14ac:dyDescent="0.25">
      <c r="A20" s="86" t="s">
        <v>205</v>
      </c>
      <c r="B20" s="84">
        <f t="shared" ref="B20:M20" si="2">SUM(B15:B19)</f>
        <v>29631.503267973854</v>
      </c>
      <c r="C20" s="84">
        <f t="shared" si="2"/>
        <v>29631.503267973854</v>
      </c>
      <c r="D20" s="84">
        <f t="shared" si="2"/>
        <v>29631.503267973854</v>
      </c>
      <c r="E20" s="84">
        <f t="shared" si="2"/>
        <v>29631.503267973854</v>
      </c>
      <c r="F20" s="84">
        <f t="shared" si="2"/>
        <v>29631.503267973854</v>
      </c>
      <c r="G20" s="84">
        <f t="shared" si="2"/>
        <v>29631.503267973854</v>
      </c>
      <c r="H20" s="84">
        <f t="shared" si="2"/>
        <v>34863.503267973851</v>
      </c>
      <c r="I20" s="84">
        <f t="shared" si="2"/>
        <v>29631.503267973854</v>
      </c>
      <c r="J20" s="84">
        <f t="shared" si="2"/>
        <v>29631.503267973854</v>
      </c>
      <c r="K20" s="84">
        <f t="shared" si="2"/>
        <v>29631.503267973854</v>
      </c>
      <c r="L20" s="84">
        <f t="shared" si="2"/>
        <v>29631.503267973854</v>
      </c>
      <c r="M20" s="84">
        <f t="shared" si="2"/>
        <v>29631.503267973854</v>
      </c>
      <c r="N20" s="92">
        <f>SUM(B20:M20)</f>
        <v>360810.03921568621</v>
      </c>
      <c r="O20" s="66">
        <f>SUM(O15:O19)</f>
        <v>388130.19607843133</v>
      </c>
      <c r="P20" s="66">
        <f>SUM(P15:P19)</f>
        <v>432958.43137254898</v>
      </c>
      <c r="Q20" s="9"/>
    </row>
    <row r="21" spans="1:18" outlineLevel="1" x14ac:dyDescent="0.25">
      <c r="A21" s="89" t="s">
        <v>34</v>
      </c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90"/>
      <c r="O21" s="58"/>
      <c r="P21" s="58"/>
      <c r="Q21" s="8"/>
    </row>
    <row r="22" spans="1:18" outlineLevel="1" x14ac:dyDescent="0.25">
      <c r="A22" s="89"/>
      <c r="B22" s="125">
        <v>130</v>
      </c>
      <c r="C22" s="125">
        <v>130</v>
      </c>
      <c r="D22" s="125">
        <v>130</v>
      </c>
      <c r="E22" s="125">
        <v>130</v>
      </c>
      <c r="F22" s="125">
        <v>130</v>
      </c>
      <c r="G22" s="125">
        <v>130</v>
      </c>
      <c r="H22" s="125">
        <v>130</v>
      </c>
      <c r="I22" s="125">
        <v>130</v>
      </c>
      <c r="J22" s="125">
        <v>130</v>
      </c>
      <c r="K22" s="125">
        <v>130</v>
      </c>
      <c r="L22" s="125">
        <v>130</v>
      </c>
      <c r="M22" s="125">
        <v>130</v>
      </c>
      <c r="N22" s="90"/>
      <c r="O22" s="58"/>
      <c r="P22" s="58"/>
      <c r="Q22" s="15"/>
    </row>
    <row r="23" spans="1:18" outlineLevel="1" x14ac:dyDescent="0.25">
      <c r="A23" s="91" t="s">
        <v>82</v>
      </c>
      <c r="B23" s="87">
        <f t="shared" ref="B23:M23" si="3">B22*$A$11/12</f>
        <v>94952.357499999998</v>
      </c>
      <c r="C23" s="87">
        <f t="shared" si="3"/>
        <v>94952.357499999998</v>
      </c>
      <c r="D23" s="87">
        <f t="shared" si="3"/>
        <v>94952.357499999998</v>
      </c>
      <c r="E23" s="87">
        <f t="shared" si="3"/>
        <v>94952.357499999998</v>
      </c>
      <c r="F23" s="87">
        <f t="shared" si="3"/>
        <v>94952.357499999998</v>
      </c>
      <c r="G23" s="87">
        <f t="shared" si="3"/>
        <v>94952.357499999998</v>
      </c>
      <c r="H23" s="87">
        <f t="shared" si="3"/>
        <v>94952.357499999998</v>
      </c>
      <c r="I23" s="87">
        <f t="shared" si="3"/>
        <v>94952.357499999998</v>
      </c>
      <c r="J23" s="87">
        <f t="shared" si="3"/>
        <v>94952.357499999998</v>
      </c>
      <c r="K23" s="87">
        <f t="shared" si="3"/>
        <v>94952.357499999998</v>
      </c>
      <c r="L23" s="87">
        <f t="shared" si="3"/>
        <v>94952.357499999998</v>
      </c>
      <c r="M23" s="87">
        <f t="shared" si="3"/>
        <v>94952.357499999998</v>
      </c>
      <c r="N23" s="90">
        <f>SUM(B23:M23)</f>
        <v>1139428.2900000003</v>
      </c>
      <c r="O23" s="58">
        <f>N23/N9*O9*1.03</f>
        <v>1263888.9186000004</v>
      </c>
      <c r="P23" s="58">
        <f>O23/O9*P9*1.03</f>
        <v>1441284.7561035005</v>
      </c>
      <c r="Q23" s="11"/>
      <c r="R23" s="13"/>
    </row>
    <row r="24" spans="1:18" outlineLevel="1" x14ac:dyDescent="0.25">
      <c r="A24" s="89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90"/>
      <c r="O24" s="58"/>
      <c r="P24" s="58"/>
      <c r="Q24" s="11"/>
    </row>
    <row r="25" spans="1:18" s="2" customFormat="1" x14ac:dyDescent="0.25">
      <c r="A25" s="86" t="s">
        <v>35</v>
      </c>
      <c r="B25" s="84">
        <f t="shared" ref="B25:M25" si="4">SUM(B23:B24)</f>
        <v>94952.357499999998</v>
      </c>
      <c r="C25" s="84">
        <f>SUM(C23:C24)</f>
        <v>94952.357499999998</v>
      </c>
      <c r="D25" s="84">
        <f t="shared" si="4"/>
        <v>94952.357499999998</v>
      </c>
      <c r="E25" s="84">
        <f t="shared" si="4"/>
        <v>94952.357499999998</v>
      </c>
      <c r="F25" s="84">
        <f t="shared" si="4"/>
        <v>94952.357499999998</v>
      </c>
      <c r="G25" s="84">
        <f t="shared" si="4"/>
        <v>94952.357499999998</v>
      </c>
      <c r="H25" s="84">
        <f t="shared" si="4"/>
        <v>94952.357499999998</v>
      </c>
      <c r="I25" s="84">
        <f t="shared" si="4"/>
        <v>94952.357499999998</v>
      </c>
      <c r="J25" s="84">
        <f t="shared" si="4"/>
        <v>94952.357499999998</v>
      </c>
      <c r="K25" s="84">
        <f t="shared" si="4"/>
        <v>94952.357499999998</v>
      </c>
      <c r="L25" s="84">
        <f t="shared" si="4"/>
        <v>94952.357499999998</v>
      </c>
      <c r="M25" s="84">
        <f t="shared" si="4"/>
        <v>94952.357499999998</v>
      </c>
      <c r="N25" s="92">
        <f>SUM(B25:M25)</f>
        <v>1139428.2900000003</v>
      </c>
      <c r="O25" s="66">
        <f>SUM(O23:O24)</f>
        <v>1263888.9186000004</v>
      </c>
      <c r="P25" s="66">
        <f>SUM(P23:P24)</f>
        <v>1441284.7561035005</v>
      </c>
      <c r="Q25" s="9"/>
    </row>
    <row r="26" spans="1:18" outlineLevel="1" x14ac:dyDescent="0.25">
      <c r="A26" s="89" t="s">
        <v>36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90"/>
      <c r="O26" s="58"/>
      <c r="P26" s="58"/>
      <c r="Q26" s="8"/>
    </row>
    <row r="27" spans="1:18" outlineLevel="1" x14ac:dyDescent="0.25">
      <c r="A27" s="89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90"/>
      <c r="O27" s="58"/>
      <c r="P27" s="58"/>
      <c r="Q27" s="8"/>
    </row>
    <row r="28" spans="1:18" outlineLevel="1" x14ac:dyDescent="0.25">
      <c r="A28" s="89" t="s">
        <v>106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90">
        <f>SUM(B28:M28)</f>
        <v>0</v>
      </c>
      <c r="O28" s="58"/>
      <c r="P28" s="58"/>
      <c r="Q28" s="8"/>
    </row>
    <row r="29" spans="1:18" outlineLevel="1" x14ac:dyDescent="0.25">
      <c r="A29" s="91" t="s">
        <v>78</v>
      </c>
      <c r="B29" s="87">
        <v>0</v>
      </c>
      <c r="C29" s="87">
        <v>0</v>
      </c>
      <c r="D29" s="87">
        <v>0</v>
      </c>
      <c r="E29" s="87">
        <v>3099</v>
      </c>
      <c r="F29" s="87">
        <f>E29</f>
        <v>3099</v>
      </c>
      <c r="G29" s="87">
        <f t="shared" ref="G29:M29" si="5">F29</f>
        <v>3099</v>
      </c>
      <c r="H29" s="87">
        <f t="shared" si="5"/>
        <v>3099</v>
      </c>
      <c r="I29" s="87">
        <f t="shared" si="5"/>
        <v>3099</v>
      </c>
      <c r="J29" s="87">
        <f t="shared" si="5"/>
        <v>3099</v>
      </c>
      <c r="K29" s="87">
        <f t="shared" si="5"/>
        <v>3099</v>
      </c>
      <c r="L29" s="87">
        <f t="shared" si="5"/>
        <v>3099</v>
      </c>
      <c r="M29" s="87">
        <f t="shared" si="5"/>
        <v>3099</v>
      </c>
      <c r="N29" s="90">
        <f>SUM(E29:M29)</f>
        <v>27891</v>
      </c>
      <c r="O29" s="58">
        <f>N29</f>
        <v>27891</v>
      </c>
      <c r="P29" s="58">
        <f>O29/N9*O9</f>
        <v>30036.461538461539</v>
      </c>
      <c r="Q29" s="8"/>
    </row>
    <row r="30" spans="1:18" outlineLevel="1" x14ac:dyDescent="0.25">
      <c r="A30" s="91" t="s">
        <v>79</v>
      </c>
      <c r="B30" s="87">
        <v>0</v>
      </c>
      <c r="C30" s="87">
        <v>0</v>
      </c>
      <c r="D30" s="87">
        <v>0</v>
      </c>
      <c r="E30" s="87">
        <v>0</v>
      </c>
      <c r="F30" s="87">
        <v>1000</v>
      </c>
      <c r="G30" s="87">
        <v>0</v>
      </c>
      <c r="H30" s="87">
        <v>0</v>
      </c>
      <c r="I30" s="87">
        <v>0</v>
      </c>
      <c r="J30" s="87">
        <v>0</v>
      </c>
      <c r="K30" s="87">
        <v>0</v>
      </c>
      <c r="L30" s="87">
        <v>0</v>
      </c>
      <c r="M30" s="87">
        <v>0</v>
      </c>
      <c r="N30" s="90">
        <f t="shared" ref="N30:N38" si="6">SUM(B30:M30)</f>
        <v>1000</v>
      </c>
      <c r="O30" s="58">
        <f t="shared" ref="O30:O35" si="7">N30</f>
        <v>1000</v>
      </c>
      <c r="P30" s="58">
        <v>1000</v>
      </c>
      <c r="Q30" s="8"/>
    </row>
    <row r="31" spans="1:18" outlineLevel="1" x14ac:dyDescent="0.25">
      <c r="A31" s="91" t="s">
        <v>135</v>
      </c>
      <c r="B31" s="87">
        <v>0</v>
      </c>
      <c r="C31" s="87">
        <v>0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  <c r="I31" s="87">
        <v>0</v>
      </c>
      <c r="J31" s="87">
        <v>0</v>
      </c>
      <c r="K31" s="87">
        <v>0</v>
      </c>
      <c r="L31" s="87">
        <v>0</v>
      </c>
      <c r="M31" s="87">
        <v>0</v>
      </c>
      <c r="N31" s="90">
        <f t="shared" si="6"/>
        <v>0</v>
      </c>
      <c r="O31" s="58">
        <f t="shared" si="7"/>
        <v>0</v>
      </c>
      <c r="P31" s="58"/>
      <c r="Q31" s="8"/>
    </row>
    <row r="32" spans="1:18" outlineLevel="1" x14ac:dyDescent="0.25">
      <c r="A32" s="91" t="s">
        <v>136</v>
      </c>
      <c r="B32" s="87">
        <v>0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0</v>
      </c>
      <c r="J32" s="87">
        <v>0</v>
      </c>
      <c r="K32" s="87">
        <v>0</v>
      </c>
      <c r="L32" s="87">
        <v>0</v>
      </c>
      <c r="M32" s="87">
        <v>0</v>
      </c>
      <c r="N32" s="90">
        <f t="shared" si="6"/>
        <v>0</v>
      </c>
      <c r="O32" s="58">
        <f t="shared" si="7"/>
        <v>0</v>
      </c>
      <c r="P32" s="58"/>
      <c r="Q32" s="8"/>
    </row>
    <row r="33" spans="1:17" outlineLevel="1" x14ac:dyDescent="0.25">
      <c r="A33" s="91" t="s">
        <v>80</v>
      </c>
      <c r="B33" s="87">
        <v>0</v>
      </c>
      <c r="C33" s="87">
        <v>0</v>
      </c>
      <c r="D33" s="87">
        <v>0</v>
      </c>
      <c r="E33" s="87">
        <v>3867</v>
      </c>
      <c r="F33" s="87">
        <f>E33</f>
        <v>3867</v>
      </c>
      <c r="G33" s="87">
        <f t="shared" ref="G33:M33" si="8">F33</f>
        <v>3867</v>
      </c>
      <c r="H33" s="87">
        <f t="shared" si="8"/>
        <v>3867</v>
      </c>
      <c r="I33" s="87">
        <f t="shared" si="8"/>
        <v>3867</v>
      </c>
      <c r="J33" s="87">
        <f t="shared" si="8"/>
        <v>3867</v>
      </c>
      <c r="K33" s="87">
        <f t="shared" si="8"/>
        <v>3867</v>
      </c>
      <c r="L33" s="87">
        <f t="shared" si="8"/>
        <v>3867</v>
      </c>
      <c r="M33" s="87">
        <f t="shared" si="8"/>
        <v>3867</v>
      </c>
      <c r="N33" s="90">
        <f t="shared" si="6"/>
        <v>34803</v>
      </c>
      <c r="O33" s="58">
        <f>N33*140/138</f>
        <v>35307.391304347824</v>
      </c>
      <c r="P33" s="58">
        <f>O33/N9*O9</f>
        <v>38023.344481605345</v>
      </c>
      <c r="Q33" s="8"/>
    </row>
    <row r="34" spans="1:17" outlineLevel="1" x14ac:dyDescent="0.25">
      <c r="A34" s="91" t="s">
        <v>88</v>
      </c>
      <c r="B34" s="87">
        <f>245*N9/12</f>
        <v>2654.1666666666665</v>
      </c>
      <c r="C34" s="87">
        <f>B34</f>
        <v>2654.1666666666665</v>
      </c>
      <c r="D34" s="87">
        <f t="shared" ref="D34:M34" si="9">C34</f>
        <v>2654.1666666666665</v>
      </c>
      <c r="E34" s="87">
        <f t="shared" si="9"/>
        <v>2654.1666666666665</v>
      </c>
      <c r="F34" s="87">
        <f t="shared" si="9"/>
        <v>2654.1666666666665</v>
      </c>
      <c r="G34" s="87">
        <f t="shared" si="9"/>
        <v>2654.1666666666665</v>
      </c>
      <c r="H34" s="87">
        <f t="shared" si="9"/>
        <v>2654.1666666666665</v>
      </c>
      <c r="I34" s="87">
        <f t="shared" si="9"/>
        <v>2654.1666666666665</v>
      </c>
      <c r="J34" s="87">
        <f t="shared" si="9"/>
        <v>2654.1666666666665</v>
      </c>
      <c r="K34" s="87">
        <f t="shared" si="9"/>
        <v>2654.1666666666665</v>
      </c>
      <c r="L34" s="87">
        <f t="shared" si="9"/>
        <v>2654.1666666666665</v>
      </c>
      <c r="M34" s="87">
        <f t="shared" si="9"/>
        <v>2654.1666666666665</v>
      </c>
      <c r="N34" s="90">
        <f t="shared" si="6"/>
        <v>31850.000000000004</v>
      </c>
      <c r="O34" s="58">
        <f>O9*245</f>
        <v>34300</v>
      </c>
      <c r="P34" s="58">
        <f>P9*245</f>
        <v>37975</v>
      </c>
      <c r="Q34" s="8"/>
    </row>
    <row r="35" spans="1:17" outlineLevel="1" x14ac:dyDescent="0.25">
      <c r="A35" s="91" t="s">
        <v>81</v>
      </c>
      <c r="B35" s="87">
        <v>0</v>
      </c>
      <c r="C35" s="87">
        <v>0</v>
      </c>
      <c r="D35" s="87">
        <v>500</v>
      </c>
      <c r="E35" s="87">
        <v>300</v>
      </c>
      <c r="F35" s="87">
        <v>0</v>
      </c>
      <c r="G35" s="87">
        <v>0</v>
      </c>
      <c r="H35" s="87">
        <v>200</v>
      </c>
      <c r="I35" s="87">
        <v>0</v>
      </c>
      <c r="J35" s="87">
        <v>0</v>
      </c>
      <c r="K35" s="87">
        <v>0</v>
      </c>
      <c r="L35" s="87">
        <v>0</v>
      </c>
      <c r="M35" s="87">
        <v>0</v>
      </c>
      <c r="N35" s="90">
        <f t="shared" si="6"/>
        <v>1000</v>
      </c>
      <c r="O35" s="58">
        <f t="shared" si="7"/>
        <v>1000</v>
      </c>
      <c r="P35" s="58">
        <v>1000</v>
      </c>
      <c r="Q35" s="8"/>
    </row>
    <row r="36" spans="1:17" outlineLevel="1" x14ac:dyDescent="0.25">
      <c r="A36" s="91" t="s">
        <v>196</v>
      </c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90">
        <f t="shared" si="6"/>
        <v>0</v>
      </c>
      <c r="O36" s="58"/>
      <c r="P36" s="58"/>
      <c r="Q36" s="8"/>
    </row>
    <row r="37" spans="1:17" outlineLevel="1" x14ac:dyDescent="0.25">
      <c r="A37" s="91" t="s">
        <v>186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90">
        <f t="shared" si="6"/>
        <v>0</v>
      </c>
      <c r="O37" s="58"/>
      <c r="P37" s="58"/>
      <c r="Q37" s="8"/>
    </row>
    <row r="38" spans="1:17" outlineLevel="1" x14ac:dyDescent="0.25">
      <c r="A38" s="89" t="s">
        <v>199</v>
      </c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90">
        <f t="shared" si="6"/>
        <v>0</v>
      </c>
      <c r="O38" s="58"/>
      <c r="P38" s="58"/>
      <c r="Q38" s="8"/>
    </row>
    <row r="39" spans="1:17" s="2" customFormat="1" x14ac:dyDescent="0.25">
      <c r="A39" s="93" t="s">
        <v>37</v>
      </c>
      <c r="B39" s="84">
        <f t="shared" ref="B39:M39" si="10">SUM(B29:B38)</f>
        <v>2654.1666666666665</v>
      </c>
      <c r="C39" s="84">
        <f t="shared" si="10"/>
        <v>2654.1666666666665</v>
      </c>
      <c r="D39" s="84">
        <f t="shared" si="10"/>
        <v>3154.1666666666665</v>
      </c>
      <c r="E39" s="84">
        <f t="shared" si="10"/>
        <v>9920.1666666666661</v>
      </c>
      <c r="F39" s="84">
        <f t="shared" si="10"/>
        <v>10620.166666666666</v>
      </c>
      <c r="G39" s="84">
        <f t="shared" si="10"/>
        <v>9620.1666666666661</v>
      </c>
      <c r="H39" s="84">
        <f t="shared" si="10"/>
        <v>9820.1666666666661</v>
      </c>
      <c r="I39" s="84">
        <f t="shared" si="10"/>
        <v>9620.1666666666661</v>
      </c>
      <c r="J39" s="84">
        <f>SUM(J28:J38)</f>
        <v>9620.1666666666661</v>
      </c>
      <c r="K39" s="84">
        <f t="shared" si="10"/>
        <v>9620.1666666666661</v>
      </c>
      <c r="L39" s="84">
        <f t="shared" si="10"/>
        <v>9620.1666666666661</v>
      </c>
      <c r="M39" s="84">
        <f t="shared" si="10"/>
        <v>9620.1666666666661</v>
      </c>
      <c r="N39" s="92">
        <f>SUM(N28:N38)</f>
        <v>96544</v>
      </c>
      <c r="O39" s="66">
        <f>SUM(O29:O38)</f>
        <v>99498.391304347824</v>
      </c>
      <c r="P39" s="66">
        <f>SUM(P29:P38)</f>
        <v>108034.80602006688</v>
      </c>
      <c r="Q39" s="9"/>
    </row>
    <row r="40" spans="1:17" ht="15.75" thickBot="1" x14ac:dyDescent="0.3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61"/>
      <c r="O40" s="58"/>
      <c r="P40" s="58"/>
      <c r="Q40" s="8"/>
    </row>
    <row r="41" spans="1:17" s="3" customFormat="1" ht="16.5" thickBot="1" x14ac:dyDescent="0.3">
      <c r="A41" s="94" t="s">
        <v>38</v>
      </c>
      <c r="B41" s="95">
        <f t="shared" ref="B41:M41" si="11">B39+B25+B20</f>
        <v>127238.02743464052</v>
      </c>
      <c r="C41" s="95">
        <f t="shared" si="11"/>
        <v>127238.02743464052</v>
      </c>
      <c r="D41" s="95">
        <f t="shared" si="11"/>
        <v>127738.02743464052</v>
      </c>
      <c r="E41" s="95">
        <f t="shared" si="11"/>
        <v>134504.02743464053</v>
      </c>
      <c r="F41" s="95">
        <f t="shared" si="11"/>
        <v>135204.02743464053</v>
      </c>
      <c r="G41" s="95">
        <f t="shared" si="11"/>
        <v>134204.02743464053</v>
      </c>
      <c r="H41" s="95">
        <f t="shared" si="11"/>
        <v>139636.02743464051</v>
      </c>
      <c r="I41" s="95">
        <f t="shared" si="11"/>
        <v>134204.02743464053</v>
      </c>
      <c r="J41" s="95">
        <f t="shared" si="11"/>
        <v>134204.02743464053</v>
      </c>
      <c r="K41" s="95">
        <f t="shared" si="11"/>
        <v>134204.02743464053</v>
      </c>
      <c r="L41" s="95">
        <f t="shared" si="11"/>
        <v>134204.02743464053</v>
      </c>
      <c r="M41" s="95">
        <f t="shared" si="11"/>
        <v>134204.02743464053</v>
      </c>
      <c r="N41" s="96">
        <f>SUM(B41:M41)</f>
        <v>1596782.3292156865</v>
      </c>
      <c r="O41" s="97">
        <f>O39+O25+O20</f>
        <v>1751517.5059827797</v>
      </c>
      <c r="P41" s="98">
        <f>P39+P25+P20</f>
        <v>1982277.9934961163</v>
      </c>
      <c r="Q41" s="9"/>
    </row>
    <row r="42" spans="1:17" x14ac:dyDescent="0.25">
      <c r="A42" s="4"/>
      <c r="B42" s="5"/>
      <c r="C42" s="5"/>
      <c r="D42" s="5"/>
      <c r="E42" s="5"/>
      <c r="F42" s="5"/>
      <c r="G42" s="24"/>
      <c r="H42" s="5"/>
      <c r="I42" s="5"/>
      <c r="J42" s="5"/>
      <c r="K42" s="5"/>
      <c r="L42" s="5"/>
      <c r="M42" s="5"/>
      <c r="N42" s="61"/>
      <c r="O42" s="61"/>
      <c r="P42" s="61"/>
      <c r="Q42" s="8"/>
    </row>
    <row r="43" spans="1:17" x14ac:dyDescent="0.25">
      <c r="A43" s="16" t="s">
        <v>119</v>
      </c>
      <c r="B43" s="5"/>
      <c r="C43" s="5"/>
      <c r="D43" s="5"/>
      <c r="E43" s="5"/>
      <c r="F43" s="5"/>
      <c r="G43" s="24"/>
      <c r="H43" s="5"/>
      <c r="I43" s="5"/>
      <c r="J43" s="5"/>
      <c r="K43" s="5"/>
      <c r="L43" s="5"/>
      <c r="M43" s="5"/>
      <c r="N43" s="61"/>
      <c r="O43" s="58"/>
      <c r="P43" s="58"/>
      <c r="Q43" s="8"/>
    </row>
    <row r="44" spans="1:17" outlineLevel="1" x14ac:dyDescent="0.25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61"/>
      <c r="O44" s="58"/>
      <c r="P44" s="58"/>
      <c r="Q44" s="8"/>
    </row>
    <row r="45" spans="1:17" outlineLevel="1" x14ac:dyDescent="0.25">
      <c r="A45" s="19" t="s">
        <v>15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67"/>
      <c r="O45" s="58"/>
      <c r="P45" s="58"/>
      <c r="Q45" s="8"/>
    </row>
    <row r="46" spans="1:17" outlineLevel="1" x14ac:dyDescent="0.25">
      <c r="A46" s="52" t="s">
        <v>41</v>
      </c>
      <c r="B46" s="25">
        <v>30200</v>
      </c>
      <c r="C46" s="25">
        <v>30200</v>
      </c>
      <c r="D46" s="25">
        <v>30200</v>
      </c>
      <c r="E46" s="25">
        <v>30200</v>
      </c>
      <c r="F46" s="25">
        <v>30200</v>
      </c>
      <c r="G46" s="25">
        <v>30200</v>
      </c>
      <c r="H46" s="25">
        <v>30200</v>
      </c>
      <c r="I46" s="25">
        <v>30200</v>
      </c>
      <c r="J46" s="25">
        <v>30200</v>
      </c>
      <c r="K46" s="25">
        <v>30200</v>
      </c>
      <c r="L46" s="25">
        <v>30200</v>
      </c>
      <c r="M46" s="25">
        <v>30200</v>
      </c>
      <c r="N46" s="65">
        <f t="shared" ref="N46:N51" si="12">SUM(B46:M46)</f>
        <v>362400</v>
      </c>
      <c r="O46" s="69">
        <f>N46*1.05</f>
        <v>380520</v>
      </c>
      <c r="P46" s="69">
        <f>O46*1.05</f>
        <v>399546</v>
      </c>
      <c r="Q46" s="8"/>
    </row>
    <row r="47" spans="1:17" outlineLevel="1" x14ac:dyDescent="0.25">
      <c r="A47" s="21" t="s">
        <v>42</v>
      </c>
      <c r="B47" s="5">
        <v>0</v>
      </c>
      <c r="C47" s="5">
        <v>1166</v>
      </c>
      <c r="D47" s="5">
        <v>1035</v>
      </c>
      <c r="E47" s="5">
        <v>1050</v>
      </c>
      <c r="F47" s="5">
        <v>1250</v>
      </c>
      <c r="G47" s="5">
        <v>1250</v>
      </c>
      <c r="H47" s="5">
        <v>1250</v>
      </c>
      <c r="I47" s="5">
        <v>1250</v>
      </c>
      <c r="J47" s="5">
        <v>1250</v>
      </c>
      <c r="K47" s="5">
        <v>1250</v>
      </c>
      <c r="L47" s="5">
        <v>1250</v>
      </c>
      <c r="M47" s="5">
        <v>0</v>
      </c>
      <c r="N47" s="63">
        <f t="shared" si="12"/>
        <v>12001</v>
      </c>
      <c r="O47" s="64">
        <f>N47*O46/N46</f>
        <v>12601.05</v>
      </c>
      <c r="P47" s="64">
        <f>O47*P46/O46</f>
        <v>13231.102499999997</v>
      </c>
      <c r="Q47" s="8"/>
    </row>
    <row r="48" spans="1:17" outlineLevel="1" x14ac:dyDescent="0.25">
      <c r="A48" s="21" t="s">
        <v>118</v>
      </c>
      <c r="B48" s="18">
        <v>17000</v>
      </c>
      <c r="C48" s="18">
        <v>17000</v>
      </c>
      <c r="D48" s="18">
        <v>17000</v>
      </c>
      <c r="E48" s="18">
        <v>17000</v>
      </c>
      <c r="F48" s="18">
        <v>17000</v>
      </c>
      <c r="G48" s="18">
        <v>17000</v>
      </c>
      <c r="H48" s="18">
        <v>17000</v>
      </c>
      <c r="I48" s="18">
        <v>17000</v>
      </c>
      <c r="J48" s="18">
        <v>17000</v>
      </c>
      <c r="K48" s="18">
        <v>17000</v>
      </c>
      <c r="L48" s="18">
        <v>17000</v>
      </c>
      <c r="M48" s="18">
        <v>17000</v>
      </c>
      <c r="N48" s="63">
        <f t="shared" si="12"/>
        <v>204000</v>
      </c>
      <c r="O48" s="69">
        <f>N48*1.1</f>
        <v>224400.00000000003</v>
      </c>
      <c r="P48" s="69">
        <f>O48*1.1</f>
        <v>246840.00000000006</v>
      </c>
      <c r="Q48" s="8"/>
    </row>
    <row r="49" spans="1:18" outlineLevel="1" x14ac:dyDescent="0.25">
      <c r="A49" s="21" t="s">
        <v>43</v>
      </c>
      <c r="B49" s="5">
        <v>0</v>
      </c>
      <c r="C49" s="5">
        <v>2400</v>
      </c>
      <c r="D49" s="5">
        <v>2400</v>
      </c>
      <c r="E49" s="5">
        <v>2400</v>
      </c>
      <c r="F49" s="5">
        <v>2400</v>
      </c>
      <c r="G49" s="5">
        <v>2400</v>
      </c>
      <c r="H49" s="5">
        <v>2400</v>
      </c>
      <c r="I49" s="5">
        <v>2400</v>
      </c>
      <c r="J49" s="5">
        <v>2400</v>
      </c>
      <c r="K49" s="5">
        <v>2400</v>
      </c>
      <c r="L49" s="5">
        <v>2400</v>
      </c>
      <c r="M49" s="5">
        <v>2400</v>
      </c>
      <c r="N49" s="63">
        <f t="shared" si="12"/>
        <v>26400</v>
      </c>
      <c r="O49" s="69">
        <v>28600</v>
      </c>
      <c r="P49" s="69">
        <v>28600</v>
      </c>
      <c r="Q49" s="8"/>
    </row>
    <row r="50" spans="1:18" outlineLevel="1" x14ac:dyDescent="0.25">
      <c r="A50" s="21" t="s">
        <v>144</v>
      </c>
      <c r="B50" s="5">
        <v>0</v>
      </c>
      <c r="C50" s="116">
        <v>0</v>
      </c>
      <c r="D50" s="116">
        <v>0</v>
      </c>
      <c r="E50" s="116"/>
      <c r="F50" s="116"/>
      <c r="G50" s="116"/>
      <c r="H50" s="116"/>
      <c r="I50" s="116"/>
      <c r="J50" s="116"/>
      <c r="K50" s="116"/>
      <c r="L50" s="116"/>
      <c r="M50" s="5">
        <v>0</v>
      </c>
      <c r="N50" s="63">
        <f t="shared" si="12"/>
        <v>0</v>
      </c>
      <c r="O50" s="69">
        <f>N50*1.02+3000</f>
        <v>3000</v>
      </c>
      <c r="P50" s="69">
        <f t="shared" ref="P50" si="13">O50*1.02</f>
        <v>3060</v>
      </c>
      <c r="Q50" s="114"/>
      <c r="R50" s="118"/>
    </row>
    <row r="51" spans="1:18" outlineLevel="1" x14ac:dyDescent="0.25">
      <c r="A51" s="21" t="s">
        <v>148</v>
      </c>
      <c r="B51" s="5">
        <v>0</v>
      </c>
      <c r="C51" s="5">
        <v>0</v>
      </c>
      <c r="D51" s="5">
        <v>0</v>
      </c>
      <c r="E51" s="5">
        <v>0</v>
      </c>
      <c r="F51" s="5">
        <v>10000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63">
        <f t="shared" si="12"/>
        <v>10000</v>
      </c>
      <c r="O51" s="58">
        <v>10000</v>
      </c>
      <c r="P51" s="58">
        <v>10000</v>
      </c>
      <c r="Q51" s="115"/>
    </row>
    <row r="52" spans="1:18" outlineLevel="1" x14ac:dyDescent="0.25">
      <c r="A52" s="19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63"/>
      <c r="O52" s="58"/>
      <c r="P52" s="58"/>
      <c r="Q52" s="8"/>
    </row>
    <row r="53" spans="1:18" x14ac:dyDescent="0.25">
      <c r="A53" s="22" t="s">
        <v>16</v>
      </c>
      <c r="B53" s="23">
        <f t="shared" ref="B53:M53" si="14">SUM(B46:B52)</f>
        <v>47200</v>
      </c>
      <c r="C53" s="23">
        <f t="shared" si="14"/>
        <v>50766</v>
      </c>
      <c r="D53" s="23">
        <f t="shared" si="14"/>
        <v>50635</v>
      </c>
      <c r="E53" s="23">
        <f t="shared" si="14"/>
        <v>50650</v>
      </c>
      <c r="F53" s="23">
        <f t="shared" si="14"/>
        <v>60850</v>
      </c>
      <c r="G53" s="23">
        <f t="shared" si="14"/>
        <v>50850</v>
      </c>
      <c r="H53" s="23">
        <f t="shared" si="14"/>
        <v>50850</v>
      </c>
      <c r="I53" s="23">
        <f t="shared" si="14"/>
        <v>50850</v>
      </c>
      <c r="J53" s="23">
        <f t="shared" si="14"/>
        <v>50850</v>
      </c>
      <c r="K53" s="23">
        <f t="shared" si="14"/>
        <v>50850</v>
      </c>
      <c r="L53" s="23">
        <f t="shared" si="14"/>
        <v>50850</v>
      </c>
      <c r="M53" s="23">
        <f t="shared" si="14"/>
        <v>49600</v>
      </c>
      <c r="N53" s="68">
        <f>SUM(B53:M53)</f>
        <v>614801</v>
      </c>
      <c r="O53" s="68">
        <f>SUM(O46:O52)</f>
        <v>659121.05000000005</v>
      </c>
      <c r="P53" s="68">
        <f>SUM(P46:P52)</f>
        <v>701277.10250000004</v>
      </c>
      <c r="Q53" s="8"/>
      <c r="R53" s="118"/>
    </row>
    <row r="54" spans="1:18" outlineLevel="1" x14ac:dyDescent="0.25">
      <c r="A54" s="26" t="s">
        <v>17</v>
      </c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70"/>
      <c r="O54" s="58"/>
      <c r="P54" s="58"/>
      <c r="Q54" s="8"/>
    </row>
    <row r="55" spans="1:18" outlineLevel="1" x14ac:dyDescent="0.25">
      <c r="A55" s="26" t="s">
        <v>124</v>
      </c>
      <c r="B55" s="18">
        <v>140</v>
      </c>
      <c r="C55" s="18">
        <v>140</v>
      </c>
      <c r="D55" s="18">
        <v>140</v>
      </c>
      <c r="E55" s="18">
        <v>140</v>
      </c>
      <c r="F55" s="18">
        <v>140</v>
      </c>
      <c r="G55" s="18">
        <v>140</v>
      </c>
      <c r="H55" s="18">
        <v>140</v>
      </c>
      <c r="I55" s="18">
        <v>140</v>
      </c>
      <c r="J55" s="18">
        <v>140</v>
      </c>
      <c r="K55" s="18">
        <v>140</v>
      </c>
      <c r="L55" s="18">
        <v>140</v>
      </c>
      <c r="M55" s="18">
        <v>140</v>
      </c>
      <c r="N55" s="63">
        <f>SUM(B55:M55)</f>
        <v>1680</v>
      </c>
      <c r="O55" s="60">
        <f>N55</f>
        <v>1680</v>
      </c>
      <c r="P55" s="60">
        <f>O55</f>
        <v>1680</v>
      </c>
      <c r="Q55" s="8"/>
    </row>
    <row r="56" spans="1:18" outlineLevel="1" x14ac:dyDescent="0.25">
      <c r="A56" s="28" t="s">
        <v>44</v>
      </c>
      <c r="B56" s="5">
        <f>B53*0.0045</f>
        <v>212.39999999999998</v>
      </c>
      <c r="C56" s="5">
        <f t="shared" ref="C56:L56" si="15">C53*0.0045</f>
        <v>228.44699999999997</v>
      </c>
      <c r="D56" s="5">
        <f t="shared" si="15"/>
        <v>227.85749999999999</v>
      </c>
      <c r="E56" s="5">
        <f t="shared" si="15"/>
        <v>227.92499999999998</v>
      </c>
      <c r="F56" s="5">
        <f t="shared" si="15"/>
        <v>273.82499999999999</v>
      </c>
      <c r="G56" s="5">
        <f t="shared" si="15"/>
        <v>228.82499999999999</v>
      </c>
      <c r="H56" s="5">
        <f t="shared" si="15"/>
        <v>228.82499999999999</v>
      </c>
      <c r="I56" s="5">
        <f t="shared" si="15"/>
        <v>228.82499999999999</v>
      </c>
      <c r="J56" s="5">
        <f t="shared" si="15"/>
        <v>228.82499999999999</v>
      </c>
      <c r="K56" s="5">
        <f t="shared" si="15"/>
        <v>228.82499999999999</v>
      </c>
      <c r="L56" s="5">
        <f t="shared" si="15"/>
        <v>228.82499999999999</v>
      </c>
      <c r="M56" s="5">
        <f>M53*0.0045</f>
        <v>223.2</v>
      </c>
      <c r="N56" s="63">
        <f t="shared" ref="N56:N68" si="16">SUM(B56:M56)</f>
        <v>2766.6044999999995</v>
      </c>
      <c r="O56" s="71">
        <f>O53*0.003</f>
        <v>1977.3631500000001</v>
      </c>
      <c r="P56" s="71">
        <f>P53*0.003</f>
        <v>2103.8313075000001</v>
      </c>
      <c r="Q56" s="8"/>
    </row>
    <row r="57" spans="1:18" outlineLevel="1" x14ac:dyDescent="0.25">
      <c r="A57" s="52" t="s">
        <v>45</v>
      </c>
      <c r="B57" s="25">
        <f t="shared" ref="B57:I61" si="17">B46*0.0145</f>
        <v>437.90000000000003</v>
      </c>
      <c r="C57" s="25">
        <f t="shared" si="17"/>
        <v>437.90000000000003</v>
      </c>
      <c r="D57" s="25">
        <f t="shared" si="17"/>
        <v>437.90000000000003</v>
      </c>
      <c r="E57" s="25">
        <f t="shared" si="17"/>
        <v>437.90000000000003</v>
      </c>
      <c r="F57" s="25">
        <f t="shared" si="17"/>
        <v>437.90000000000003</v>
      </c>
      <c r="G57" s="25">
        <f t="shared" si="17"/>
        <v>437.90000000000003</v>
      </c>
      <c r="H57" s="25">
        <f t="shared" si="17"/>
        <v>437.90000000000003</v>
      </c>
      <c r="I57" s="25">
        <f t="shared" si="17"/>
        <v>437.90000000000003</v>
      </c>
      <c r="J57" s="25">
        <f>+J46*0.0145</f>
        <v>437.90000000000003</v>
      </c>
      <c r="K57" s="25">
        <f t="shared" ref="K57:M60" si="18">K46*0.0145</f>
        <v>437.90000000000003</v>
      </c>
      <c r="L57" s="25">
        <f t="shared" si="18"/>
        <v>437.90000000000003</v>
      </c>
      <c r="M57" s="25">
        <f t="shared" si="18"/>
        <v>437.90000000000003</v>
      </c>
      <c r="N57" s="65">
        <f t="shared" si="16"/>
        <v>5254.7999999999993</v>
      </c>
      <c r="O57" s="69">
        <f>O46*0.0145</f>
        <v>5517.54</v>
      </c>
      <c r="P57" s="69">
        <f>P46*0.0145</f>
        <v>5793.4170000000004</v>
      </c>
      <c r="Q57" s="8"/>
    </row>
    <row r="58" spans="1:18" outlineLevel="1" x14ac:dyDescent="0.25">
      <c r="A58" s="28" t="s">
        <v>46</v>
      </c>
      <c r="B58" s="5">
        <f t="shared" si="17"/>
        <v>0</v>
      </c>
      <c r="C58" s="5">
        <f t="shared" si="17"/>
        <v>16.907</v>
      </c>
      <c r="D58" s="5">
        <f t="shared" si="17"/>
        <v>15.0075</v>
      </c>
      <c r="E58" s="5">
        <f t="shared" si="17"/>
        <v>15.225000000000001</v>
      </c>
      <c r="F58" s="5">
        <f t="shared" si="17"/>
        <v>18.125</v>
      </c>
      <c r="G58" s="5">
        <f t="shared" si="17"/>
        <v>18.125</v>
      </c>
      <c r="H58" s="5">
        <f t="shared" si="17"/>
        <v>18.125</v>
      </c>
      <c r="I58" s="5">
        <f t="shared" si="17"/>
        <v>18.125</v>
      </c>
      <c r="J58" s="5">
        <f>J47*0.0145</f>
        <v>18.125</v>
      </c>
      <c r="K58" s="5">
        <f t="shared" si="18"/>
        <v>18.125</v>
      </c>
      <c r="L58" s="5">
        <f t="shared" si="18"/>
        <v>18.125</v>
      </c>
      <c r="M58" s="5">
        <f t="shared" si="18"/>
        <v>0</v>
      </c>
      <c r="N58" s="63">
        <f t="shared" si="16"/>
        <v>174.0145</v>
      </c>
      <c r="O58" s="60">
        <f t="shared" ref="O58:O62" si="19">N58</f>
        <v>174.0145</v>
      </c>
      <c r="P58" s="58">
        <v>174.0145</v>
      </c>
      <c r="Q58" s="8"/>
    </row>
    <row r="59" spans="1:18" outlineLevel="1" x14ac:dyDescent="0.25">
      <c r="A59" s="28" t="s">
        <v>47</v>
      </c>
      <c r="B59" s="5">
        <f t="shared" si="17"/>
        <v>246.5</v>
      </c>
      <c r="C59" s="5">
        <f t="shared" si="17"/>
        <v>246.5</v>
      </c>
      <c r="D59" s="5">
        <f t="shared" si="17"/>
        <v>246.5</v>
      </c>
      <c r="E59" s="5">
        <f t="shared" si="17"/>
        <v>246.5</v>
      </c>
      <c r="F59" s="5">
        <f t="shared" si="17"/>
        <v>246.5</v>
      </c>
      <c r="G59" s="5">
        <f t="shared" si="17"/>
        <v>246.5</v>
      </c>
      <c r="H59" s="5">
        <f t="shared" si="17"/>
        <v>246.5</v>
      </c>
      <c r="I59" s="5">
        <f t="shared" si="17"/>
        <v>246.5</v>
      </c>
      <c r="J59" s="5">
        <f>J48*0.0145</f>
        <v>246.5</v>
      </c>
      <c r="K59" s="5">
        <f t="shared" si="18"/>
        <v>246.5</v>
      </c>
      <c r="L59" s="5">
        <f t="shared" si="18"/>
        <v>246.5</v>
      </c>
      <c r="M59" s="5">
        <f t="shared" si="18"/>
        <v>246.5</v>
      </c>
      <c r="N59" s="63">
        <f t="shared" si="16"/>
        <v>2958</v>
      </c>
      <c r="O59" s="60">
        <f t="shared" si="19"/>
        <v>2958</v>
      </c>
      <c r="P59" s="58">
        <v>3271.1999999999994</v>
      </c>
      <c r="Q59" s="8"/>
    </row>
    <row r="60" spans="1:18" outlineLevel="1" x14ac:dyDescent="0.25">
      <c r="A60" s="28" t="s">
        <v>146</v>
      </c>
      <c r="B60" s="5">
        <f t="shared" si="17"/>
        <v>0</v>
      </c>
      <c r="C60" s="5">
        <f t="shared" si="17"/>
        <v>34.800000000000004</v>
      </c>
      <c r="D60" s="5">
        <f t="shared" si="17"/>
        <v>34.800000000000004</v>
      </c>
      <c r="E60" s="5">
        <f t="shared" si="17"/>
        <v>34.800000000000004</v>
      </c>
      <c r="F60" s="5">
        <f t="shared" si="17"/>
        <v>34.800000000000004</v>
      </c>
      <c r="G60" s="5">
        <f t="shared" si="17"/>
        <v>34.800000000000004</v>
      </c>
      <c r="H60" s="5">
        <f t="shared" si="17"/>
        <v>34.800000000000004</v>
      </c>
      <c r="I60" s="5">
        <f t="shared" si="17"/>
        <v>34.800000000000004</v>
      </c>
      <c r="J60" s="5">
        <f>J49*0.0145</f>
        <v>34.800000000000004</v>
      </c>
      <c r="K60" s="5">
        <f t="shared" si="18"/>
        <v>34.800000000000004</v>
      </c>
      <c r="L60" s="5">
        <f t="shared" si="18"/>
        <v>34.800000000000004</v>
      </c>
      <c r="M60" s="5">
        <f t="shared" si="18"/>
        <v>34.800000000000004</v>
      </c>
      <c r="N60" s="63">
        <f t="shared" si="16"/>
        <v>382.80000000000007</v>
      </c>
      <c r="O60" s="60">
        <f t="shared" si="19"/>
        <v>382.80000000000007</v>
      </c>
      <c r="P60" s="58">
        <v>414.69999999999993</v>
      </c>
      <c r="Q60" s="8"/>
    </row>
    <row r="61" spans="1:18" outlineLevel="1" x14ac:dyDescent="0.25">
      <c r="A61" s="28" t="s">
        <v>145</v>
      </c>
      <c r="B61" s="5">
        <f t="shared" si="17"/>
        <v>0</v>
      </c>
      <c r="C61" s="5">
        <f t="shared" si="17"/>
        <v>0</v>
      </c>
      <c r="D61" s="5">
        <f t="shared" si="17"/>
        <v>0</v>
      </c>
      <c r="E61" s="5">
        <f t="shared" si="17"/>
        <v>0</v>
      </c>
      <c r="F61" s="5">
        <f t="shared" si="17"/>
        <v>0</v>
      </c>
      <c r="G61" s="5">
        <f t="shared" si="17"/>
        <v>0</v>
      </c>
      <c r="H61" s="5">
        <f t="shared" si="17"/>
        <v>0</v>
      </c>
      <c r="I61" s="5">
        <f t="shared" si="17"/>
        <v>0</v>
      </c>
      <c r="J61" s="5">
        <f>J50*0.0145</f>
        <v>0</v>
      </c>
      <c r="K61" s="5">
        <f>K50*0.0145</f>
        <v>0</v>
      </c>
      <c r="L61" s="5">
        <f>L50*0.0145</f>
        <v>0</v>
      </c>
      <c r="M61" s="5">
        <v>0</v>
      </c>
      <c r="N61" s="63">
        <f>SUM(B61:M61)</f>
        <v>0</v>
      </c>
      <c r="O61" s="60">
        <f t="shared" si="19"/>
        <v>0</v>
      </c>
      <c r="P61" s="58">
        <v>328.54581450827652</v>
      </c>
      <c r="Q61" s="8"/>
    </row>
    <row r="62" spans="1:18" outlineLevel="1" x14ac:dyDescent="0.25">
      <c r="A62" s="28" t="s">
        <v>152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f>G51*0.0145</f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63">
        <f>SUM(B62:M62)</f>
        <v>0</v>
      </c>
      <c r="O62" s="60">
        <f t="shared" si="19"/>
        <v>0</v>
      </c>
      <c r="P62" s="58"/>
      <c r="Q62" s="8"/>
    </row>
    <row r="63" spans="1:18" outlineLevel="1" x14ac:dyDescent="0.25">
      <c r="A63" s="52" t="s">
        <v>48</v>
      </c>
      <c r="B63" s="25">
        <f t="shared" ref="B63:M63" si="20">B46*0.209</f>
        <v>6311.8</v>
      </c>
      <c r="C63" s="25">
        <f t="shared" si="20"/>
        <v>6311.8</v>
      </c>
      <c r="D63" s="25">
        <f t="shared" si="20"/>
        <v>6311.8</v>
      </c>
      <c r="E63" s="25">
        <f t="shared" si="20"/>
        <v>6311.8</v>
      </c>
      <c r="F63" s="25">
        <f t="shared" si="20"/>
        <v>6311.8</v>
      </c>
      <c r="G63" s="25">
        <f t="shared" si="20"/>
        <v>6311.8</v>
      </c>
      <c r="H63" s="25">
        <f t="shared" si="20"/>
        <v>6311.8</v>
      </c>
      <c r="I63" s="25">
        <f t="shared" si="20"/>
        <v>6311.8</v>
      </c>
      <c r="J63" s="25">
        <f t="shared" si="20"/>
        <v>6311.8</v>
      </c>
      <c r="K63" s="25">
        <f t="shared" si="20"/>
        <v>6311.8</v>
      </c>
      <c r="L63" s="25">
        <f t="shared" si="20"/>
        <v>6311.8</v>
      </c>
      <c r="M63" s="25">
        <f t="shared" si="20"/>
        <v>6311.8</v>
      </c>
      <c r="N63" s="65">
        <f t="shared" si="16"/>
        <v>75741.60000000002</v>
      </c>
      <c r="O63" s="71">
        <f>O46*0.209</f>
        <v>79528.679999999993</v>
      </c>
      <c r="P63" s="71">
        <f>P46*0.209</f>
        <v>83505.114000000001</v>
      </c>
      <c r="Q63" s="8"/>
    </row>
    <row r="64" spans="1:18" outlineLevel="1" x14ac:dyDescent="0.25">
      <c r="A64" s="28" t="s">
        <v>49</v>
      </c>
      <c r="B64" s="5">
        <f t="shared" ref="B64:M64" si="21">B47*0.209</f>
        <v>0</v>
      </c>
      <c r="C64" s="5">
        <f t="shared" si="21"/>
        <v>243.69399999999999</v>
      </c>
      <c r="D64" s="5">
        <f t="shared" si="21"/>
        <v>216.315</v>
      </c>
      <c r="E64" s="5">
        <f t="shared" si="21"/>
        <v>219.45</v>
      </c>
      <c r="F64" s="5">
        <f t="shared" si="21"/>
        <v>261.25</v>
      </c>
      <c r="G64" s="5">
        <f t="shared" si="21"/>
        <v>261.25</v>
      </c>
      <c r="H64" s="5">
        <f t="shared" si="21"/>
        <v>261.25</v>
      </c>
      <c r="I64" s="5">
        <f t="shared" si="21"/>
        <v>261.25</v>
      </c>
      <c r="J64" s="5">
        <f t="shared" si="21"/>
        <v>261.25</v>
      </c>
      <c r="K64" s="5">
        <f t="shared" si="21"/>
        <v>261.25</v>
      </c>
      <c r="L64" s="5">
        <f t="shared" si="21"/>
        <v>261.25</v>
      </c>
      <c r="M64" s="5">
        <f t="shared" si="21"/>
        <v>0</v>
      </c>
      <c r="N64" s="63">
        <f t="shared" si="16"/>
        <v>2508.2089999999998</v>
      </c>
      <c r="O64" s="60">
        <f t="shared" ref="O64:O67" si="22">N64</f>
        <v>2508.2089999999998</v>
      </c>
      <c r="P64" s="58">
        <v>2508.2089999999998</v>
      </c>
      <c r="Q64" s="8"/>
    </row>
    <row r="65" spans="1:18" outlineLevel="1" x14ac:dyDescent="0.25">
      <c r="A65" s="28" t="s">
        <v>50</v>
      </c>
      <c r="B65" s="5">
        <f t="shared" ref="B65:M65" si="23">B48*0.209</f>
        <v>3553</v>
      </c>
      <c r="C65" s="5">
        <f t="shared" si="23"/>
        <v>3553</v>
      </c>
      <c r="D65" s="5">
        <f t="shared" si="23"/>
        <v>3553</v>
      </c>
      <c r="E65" s="5">
        <f t="shared" si="23"/>
        <v>3553</v>
      </c>
      <c r="F65" s="5">
        <f t="shared" si="23"/>
        <v>3553</v>
      </c>
      <c r="G65" s="5">
        <f t="shared" si="23"/>
        <v>3553</v>
      </c>
      <c r="H65" s="5">
        <f t="shared" si="23"/>
        <v>3553</v>
      </c>
      <c r="I65" s="5">
        <f t="shared" si="23"/>
        <v>3553</v>
      </c>
      <c r="J65" s="5">
        <f t="shared" si="23"/>
        <v>3553</v>
      </c>
      <c r="K65" s="5">
        <f t="shared" si="23"/>
        <v>3553</v>
      </c>
      <c r="L65" s="5">
        <f t="shared" si="23"/>
        <v>3553</v>
      </c>
      <c r="M65" s="5">
        <f t="shared" si="23"/>
        <v>3553</v>
      </c>
      <c r="N65" s="63">
        <f t="shared" si="16"/>
        <v>42636</v>
      </c>
      <c r="O65" s="60">
        <f t="shared" si="22"/>
        <v>42636</v>
      </c>
      <c r="P65" s="58">
        <v>47150.399999999994</v>
      </c>
      <c r="Q65" s="8"/>
    </row>
    <row r="66" spans="1:18" outlineLevel="1" x14ac:dyDescent="0.25">
      <c r="A66" s="28" t="s">
        <v>51</v>
      </c>
      <c r="B66" s="5">
        <f t="shared" ref="B66:M66" si="24">B49*0.209</f>
        <v>0</v>
      </c>
      <c r="C66" s="5">
        <f t="shared" si="24"/>
        <v>501.59999999999997</v>
      </c>
      <c r="D66" s="5">
        <f t="shared" si="24"/>
        <v>501.59999999999997</v>
      </c>
      <c r="E66" s="5">
        <f t="shared" si="24"/>
        <v>501.59999999999997</v>
      </c>
      <c r="F66" s="5">
        <f t="shared" si="24"/>
        <v>501.59999999999997</v>
      </c>
      <c r="G66" s="5">
        <f t="shared" si="24"/>
        <v>501.59999999999997</v>
      </c>
      <c r="H66" s="5">
        <f t="shared" si="24"/>
        <v>501.59999999999997</v>
      </c>
      <c r="I66" s="5">
        <f t="shared" si="24"/>
        <v>501.59999999999997</v>
      </c>
      <c r="J66" s="5">
        <f t="shared" si="24"/>
        <v>501.59999999999997</v>
      </c>
      <c r="K66" s="5">
        <f t="shared" si="24"/>
        <v>501.59999999999997</v>
      </c>
      <c r="L66" s="5">
        <f t="shared" si="24"/>
        <v>501.59999999999997</v>
      </c>
      <c r="M66" s="5">
        <f t="shared" si="24"/>
        <v>501.59999999999997</v>
      </c>
      <c r="N66" s="63">
        <f t="shared" si="16"/>
        <v>5517.6</v>
      </c>
      <c r="O66" s="60">
        <f t="shared" si="22"/>
        <v>5517.6</v>
      </c>
      <c r="P66" s="58">
        <v>5977.3999999999987</v>
      </c>
      <c r="Q66" s="8"/>
    </row>
    <row r="67" spans="1:18" outlineLevel="1" x14ac:dyDescent="0.25">
      <c r="A67" s="28" t="s">
        <v>147</v>
      </c>
      <c r="B67" s="5">
        <v>0</v>
      </c>
      <c r="C67" s="5">
        <f t="shared" ref="C67:L67" si="25">C50*0.209</f>
        <v>0</v>
      </c>
      <c r="D67" s="5">
        <f t="shared" si="25"/>
        <v>0</v>
      </c>
      <c r="E67" s="5">
        <f t="shared" si="25"/>
        <v>0</v>
      </c>
      <c r="F67" s="5">
        <f t="shared" si="25"/>
        <v>0</v>
      </c>
      <c r="G67" s="5">
        <f t="shared" si="25"/>
        <v>0</v>
      </c>
      <c r="H67" s="5">
        <f t="shared" si="25"/>
        <v>0</v>
      </c>
      <c r="I67" s="5">
        <f t="shared" si="25"/>
        <v>0</v>
      </c>
      <c r="J67" s="5">
        <f t="shared" si="25"/>
        <v>0</v>
      </c>
      <c r="K67" s="5">
        <f t="shared" si="25"/>
        <v>0</v>
      </c>
      <c r="L67" s="5">
        <f t="shared" si="25"/>
        <v>0</v>
      </c>
      <c r="M67" s="5">
        <v>0</v>
      </c>
      <c r="N67" s="63">
        <f>SUM(B67:M67)</f>
        <v>0</v>
      </c>
      <c r="O67" s="60">
        <f t="shared" si="22"/>
        <v>0</v>
      </c>
      <c r="P67" s="58">
        <v>4735.5913953261925</v>
      </c>
      <c r="Q67" s="8"/>
    </row>
    <row r="68" spans="1:18" outlineLevel="1" x14ac:dyDescent="0.25">
      <c r="A68" s="28" t="s">
        <v>153</v>
      </c>
      <c r="B68" s="29">
        <v>6500</v>
      </c>
      <c r="C68" s="29">
        <v>6500</v>
      </c>
      <c r="D68" s="29">
        <v>6500</v>
      </c>
      <c r="E68" s="29">
        <v>6500</v>
      </c>
      <c r="F68" s="29">
        <v>6500</v>
      </c>
      <c r="G68" s="29">
        <v>7000</v>
      </c>
      <c r="H68" s="29">
        <v>7000</v>
      </c>
      <c r="I68" s="29">
        <v>7000</v>
      </c>
      <c r="J68" s="29">
        <v>7000</v>
      </c>
      <c r="K68" s="29">
        <v>7000</v>
      </c>
      <c r="L68" s="29">
        <v>7000</v>
      </c>
      <c r="M68" s="29">
        <v>7000</v>
      </c>
      <c r="N68" s="63">
        <f t="shared" si="16"/>
        <v>81500</v>
      </c>
      <c r="O68" s="69">
        <f>N68*1.1</f>
        <v>89650</v>
      </c>
      <c r="P68" s="69">
        <f>O68*1.1</f>
        <v>98615.000000000015</v>
      </c>
      <c r="Q68" s="8"/>
    </row>
    <row r="69" spans="1:18" outlineLevel="1" x14ac:dyDescent="0.25">
      <c r="A69" s="28" t="s">
        <v>139</v>
      </c>
      <c r="B69" s="5">
        <v>75</v>
      </c>
      <c r="C69" s="5">
        <v>75</v>
      </c>
      <c r="D69" s="5">
        <v>75</v>
      </c>
      <c r="E69" s="5">
        <v>75</v>
      </c>
      <c r="F69" s="5">
        <v>75</v>
      </c>
      <c r="G69" s="5">
        <v>75</v>
      </c>
      <c r="H69" s="5">
        <v>75</v>
      </c>
      <c r="I69" s="5">
        <v>75</v>
      </c>
      <c r="J69" s="5">
        <v>75</v>
      </c>
      <c r="K69" s="5">
        <v>75</v>
      </c>
      <c r="L69" s="5">
        <v>75</v>
      </c>
      <c r="M69" s="5">
        <v>75</v>
      </c>
      <c r="N69" s="63">
        <f>SUM(B69:M69)</f>
        <v>900</v>
      </c>
      <c r="O69" s="64">
        <v>900</v>
      </c>
      <c r="P69" s="58">
        <v>900</v>
      </c>
      <c r="Q69" s="8"/>
    </row>
    <row r="70" spans="1:18" outlineLevel="1" x14ac:dyDescent="0.25">
      <c r="A70" s="28" t="s">
        <v>162</v>
      </c>
      <c r="B70" s="5">
        <v>0</v>
      </c>
      <c r="C70" s="5">
        <f>B70</f>
        <v>0</v>
      </c>
      <c r="D70" s="5">
        <f t="shared" ref="D70:M70" si="26">C70</f>
        <v>0</v>
      </c>
      <c r="E70" s="5">
        <f t="shared" si="26"/>
        <v>0</v>
      </c>
      <c r="F70" s="5">
        <f t="shared" si="26"/>
        <v>0</v>
      </c>
      <c r="G70" s="5">
        <f t="shared" si="26"/>
        <v>0</v>
      </c>
      <c r="H70" s="5">
        <f t="shared" si="26"/>
        <v>0</v>
      </c>
      <c r="I70" s="5">
        <f t="shared" si="26"/>
        <v>0</v>
      </c>
      <c r="J70" s="5">
        <f t="shared" si="26"/>
        <v>0</v>
      </c>
      <c r="K70" s="5">
        <f t="shared" si="26"/>
        <v>0</v>
      </c>
      <c r="L70" s="5">
        <f t="shared" si="26"/>
        <v>0</v>
      </c>
      <c r="M70" s="5">
        <f t="shared" si="26"/>
        <v>0</v>
      </c>
      <c r="N70" s="63">
        <f>SUM(B70:M70)</f>
        <v>0</v>
      </c>
      <c r="O70" s="64"/>
      <c r="P70" s="58"/>
      <c r="Q70" s="8"/>
    </row>
    <row r="71" spans="1:18" outlineLevel="1" x14ac:dyDescent="0.25">
      <c r="A71" s="26">
        <f>(9600+49538+6480+7800+1920+4320-83538)/12</f>
        <v>-323.33333333333331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63"/>
      <c r="O71" s="58"/>
      <c r="P71" s="58"/>
      <c r="Q71" s="8"/>
    </row>
    <row r="72" spans="1:18" x14ac:dyDescent="0.25">
      <c r="A72" s="30" t="s">
        <v>18</v>
      </c>
      <c r="B72" s="31">
        <f t="shared" ref="B72:M72" si="27">SUM(B55:B71)</f>
        <v>17476.599999999999</v>
      </c>
      <c r="C72" s="31">
        <f t="shared" si="27"/>
        <v>18289.648000000001</v>
      </c>
      <c r="D72" s="31">
        <f t="shared" si="27"/>
        <v>18259.78</v>
      </c>
      <c r="E72" s="31">
        <f t="shared" si="27"/>
        <v>18263.2</v>
      </c>
      <c r="F72" s="31">
        <f t="shared" si="27"/>
        <v>18353.800000000003</v>
      </c>
      <c r="G72" s="31">
        <f t="shared" si="27"/>
        <v>18808.800000000003</v>
      </c>
      <c r="H72" s="31">
        <f t="shared" si="27"/>
        <v>18808.800000000003</v>
      </c>
      <c r="I72" s="31">
        <f t="shared" si="27"/>
        <v>18808.800000000003</v>
      </c>
      <c r="J72" s="31">
        <f t="shared" si="27"/>
        <v>18808.800000000003</v>
      </c>
      <c r="K72" s="31">
        <f t="shared" si="27"/>
        <v>18808.800000000003</v>
      </c>
      <c r="L72" s="31">
        <f t="shared" si="27"/>
        <v>18808.800000000003</v>
      </c>
      <c r="M72" s="31">
        <f t="shared" si="27"/>
        <v>18523.800000000003</v>
      </c>
      <c r="N72" s="72">
        <f>SUM(B72:M72)</f>
        <v>222019.62799999997</v>
      </c>
      <c r="O72" s="72">
        <f>SUM(O55:O71)</f>
        <v>233430.20665000001</v>
      </c>
      <c r="P72" s="72">
        <f>SUM(P55:P71)</f>
        <v>257157.42301733448</v>
      </c>
      <c r="Q72" s="8"/>
    </row>
    <row r="73" spans="1:18" outlineLevel="1" x14ac:dyDescent="0.25">
      <c r="A73" s="19" t="s">
        <v>11</v>
      </c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67"/>
      <c r="O73" s="58"/>
      <c r="P73" s="58"/>
      <c r="Q73" s="8"/>
    </row>
    <row r="74" spans="1:18" outlineLevel="1" x14ac:dyDescent="0.25">
      <c r="A74" s="19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61"/>
      <c r="O74" s="58"/>
      <c r="P74" s="58"/>
      <c r="Q74" s="8"/>
    </row>
    <row r="75" spans="1:18" outlineLevel="1" x14ac:dyDescent="0.25">
      <c r="A75" s="21" t="s">
        <v>52</v>
      </c>
      <c r="B75" s="5">
        <v>45</v>
      </c>
      <c r="C75" s="5">
        <v>45</v>
      </c>
      <c r="D75" s="5">
        <v>45</v>
      </c>
      <c r="E75" s="5">
        <v>45</v>
      </c>
      <c r="F75" s="5">
        <v>45</v>
      </c>
      <c r="G75" s="5">
        <v>45</v>
      </c>
      <c r="H75" s="5">
        <v>45</v>
      </c>
      <c r="I75" s="5">
        <v>45</v>
      </c>
      <c r="J75" s="5">
        <v>45</v>
      </c>
      <c r="K75" s="5">
        <v>45</v>
      </c>
      <c r="L75" s="5">
        <v>45</v>
      </c>
      <c r="M75" s="5">
        <v>45</v>
      </c>
      <c r="N75" s="63">
        <f t="shared" ref="N75:N81" si="28">SUM(B75:M75)</f>
        <v>540</v>
      </c>
      <c r="O75" s="60">
        <v>550</v>
      </c>
      <c r="P75" s="64">
        <v>550</v>
      </c>
      <c r="Q75" s="10"/>
      <c r="R75" s="14"/>
    </row>
    <row r="76" spans="1:18" outlineLevel="1" x14ac:dyDescent="0.25">
      <c r="A76" s="21" t="s">
        <v>53</v>
      </c>
      <c r="B76" s="18">
        <v>500</v>
      </c>
      <c r="C76" s="18">
        <v>500</v>
      </c>
      <c r="D76" s="18">
        <v>500</v>
      </c>
      <c r="E76" s="18">
        <v>500</v>
      </c>
      <c r="F76" s="18">
        <v>500</v>
      </c>
      <c r="G76" s="18">
        <v>500</v>
      </c>
      <c r="H76" s="18">
        <v>500</v>
      </c>
      <c r="I76" s="18">
        <v>500</v>
      </c>
      <c r="J76" s="18">
        <v>500</v>
      </c>
      <c r="K76" s="18">
        <v>500</v>
      </c>
      <c r="L76" s="18">
        <v>500</v>
      </c>
      <c r="M76" s="18">
        <v>500</v>
      </c>
      <c r="N76" s="63">
        <f t="shared" si="28"/>
        <v>6000</v>
      </c>
      <c r="O76" s="60">
        <v>6000</v>
      </c>
      <c r="P76" s="64">
        <v>6000</v>
      </c>
      <c r="Q76" s="10"/>
      <c r="R76" s="14"/>
    </row>
    <row r="77" spans="1:18" outlineLevel="1" x14ac:dyDescent="0.25">
      <c r="A77" s="21" t="s">
        <v>54</v>
      </c>
      <c r="B77" s="5">
        <v>6700</v>
      </c>
      <c r="C77" s="5">
        <v>1000</v>
      </c>
      <c r="D77" s="5">
        <v>0</v>
      </c>
      <c r="E77" s="5">
        <v>0</v>
      </c>
      <c r="F77" s="5">
        <v>1000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63">
        <f t="shared" si="28"/>
        <v>8700</v>
      </c>
      <c r="O77" s="60">
        <v>9000</v>
      </c>
      <c r="P77" s="58">
        <v>9500</v>
      </c>
      <c r="Q77" s="8"/>
    </row>
    <row r="78" spans="1:18" outlineLevel="1" x14ac:dyDescent="0.25">
      <c r="A78" s="21" t="s">
        <v>55</v>
      </c>
      <c r="B78" s="18">
        <v>0</v>
      </c>
      <c r="C78" s="18">
        <f>23172*1.03/10*1.03</f>
        <v>2458.3174800000002</v>
      </c>
      <c r="D78" s="18">
        <f t="shared" ref="D78:L78" si="29">23172*1.03/10*1.03</f>
        <v>2458.3174800000002</v>
      </c>
      <c r="E78" s="18">
        <f t="shared" si="29"/>
        <v>2458.3174800000002</v>
      </c>
      <c r="F78" s="18">
        <f t="shared" si="29"/>
        <v>2458.3174800000002</v>
      </c>
      <c r="G78" s="18">
        <f t="shared" si="29"/>
        <v>2458.3174800000002</v>
      </c>
      <c r="H78" s="18">
        <f t="shared" si="29"/>
        <v>2458.3174800000002</v>
      </c>
      <c r="I78" s="18">
        <f t="shared" si="29"/>
        <v>2458.3174800000002</v>
      </c>
      <c r="J78" s="18">
        <f t="shared" si="29"/>
        <v>2458.3174800000002</v>
      </c>
      <c r="K78" s="18">
        <f t="shared" si="29"/>
        <v>2458.3174800000002</v>
      </c>
      <c r="L78" s="18">
        <f t="shared" si="29"/>
        <v>2458.3174800000002</v>
      </c>
      <c r="M78" s="18">
        <v>0</v>
      </c>
      <c r="N78" s="63">
        <f t="shared" si="28"/>
        <v>24583.174800000004</v>
      </c>
      <c r="O78" s="60">
        <f>N78/N9*O9</f>
        <v>26474.188246153852</v>
      </c>
      <c r="P78" s="60">
        <f>O78/O9*P9</f>
        <v>29310.708415384619</v>
      </c>
      <c r="Q78" s="10"/>
      <c r="R78" s="14"/>
    </row>
    <row r="79" spans="1:18" outlineLevel="1" x14ac:dyDescent="0.25">
      <c r="A79" s="21" t="s">
        <v>56</v>
      </c>
      <c r="B79" s="18">
        <v>0</v>
      </c>
      <c r="C79" s="18">
        <v>500</v>
      </c>
      <c r="D79" s="18">
        <v>1300</v>
      </c>
      <c r="E79" s="18">
        <v>1300</v>
      </c>
      <c r="F79" s="18">
        <v>1300</v>
      </c>
      <c r="G79" s="18">
        <v>1300</v>
      </c>
      <c r="H79" s="18">
        <v>1300</v>
      </c>
      <c r="I79" s="18">
        <v>1300</v>
      </c>
      <c r="J79" s="18">
        <v>1300</v>
      </c>
      <c r="K79" s="18">
        <v>1300</v>
      </c>
      <c r="L79" s="18">
        <v>1300</v>
      </c>
      <c r="M79" s="18">
        <v>0</v>
      </c>
      <c r="N79" s="63">
        <f t="shared" si="28"/>
        <v>12200</v>
      </c>
      <c r="O79" s="60">
        <f>O9/N9*N79</f>
        <v>13138.461538461537</v>
      </c>
      <c r="P79" s="60">
        <f>P9/O9*O79</f>
        <v>14546.153846153846</v>
      </c>
      <c r="Q79" s="8"/>
    </row>
    <row r="80" spans="1:18" outlineLevel="1" x14ac:dyDescent="0.25">
      <c r="A80" s="21" t="s">
        <v>125</v>
      </c>
      <c r="B80" s="5">
        <f>0</f>
        <v>0</v>
      </c>
      <c r="C80" s="5">
        <v>1500</v>
      </c>
      <c r="D80" s="5">
        <v>3000</v>
      </c>
      <c r="E80" s="5">
        <v>3000</v>
      </c>
      <c r="F80" s="5">
        <v>3000</v>
      </c>
      <c r="G80" s="5">
        <v>3000</v>
      </c>
      <c r="H80" s="5">
        <v>3000</v>
      </c>
      <c r="I80" s="5">
        <v>3000</v>
      </c>
      <c r="J80" s="5">
        <v>3000</v>
      </c>
      <c r="K80" s="5">
        <v>3000</v>
      </c>
      <c r="L80" s="5">
        <v>3000</v>
      </c>
      <c r="M80" s="5">
        <f>0</f>
        <v>0</v>
      </c>
      <c r="N80" s="63">
        <f>SUM(B80:M80)</f>
        <v>28500</v>
      </c>
      <c r="O80" s="60">
        <f>N80*1.05</f>
        <v>29925</v>
      </c>
      <c r="P80" s="60">
        <f>O80*1.05</f>
        <v>31421.25</v>
      </c>
      <c r="Q80" s="8"/>
    </row>
    <row r="81" spans="1:17" outlineLevel="1" x14ac:dyDescent="0.25">
      <c r="A81" s="21" t="s">
        <v>57</v>
      </c>
      <c r="B81" s="5">
        <v>0</v>
      </c>
      <c r="C81" s="5">
        <v>693</v>
      </c>
      <c r="D81" s="5">
        <v>693</v>
      </c>
      <c r="E81" s="5">
        <v>693</v>
      </c>
      <c r="F81" s="5">
        <v>693</v>
      </c>
      <c r="G81" s="5">
        <v>693</v>
      </c>
      <c r="H81" s="5">
        <v>693</v>
      </c>
      <c r="I81" s="5">
        <v>693</v>
      </c>
      <c r="J81" s="5">
        <v>693</v>
      </c>
      <c r="K81" s="5">
        <v>693</v>
      </c>
      <c r="L81" s="5">
        <v>693</v>
      </c>
      <c r="M81" s="5">
        <v>0</v>
      </c>
      <c r="N81" s="63">
        <f t="shared" si="28"/>
        <v>6930</v>
      </c>
      <c r="O81" s="69">
        <v>7000</v>
      </c>
      <c r="P81" s="58">
        <v>7500</v>
      </c>
      <c r="Q81" s="8"/>
    </row>
    <row r="82" spans="1:17" outlineLevel="1" x14ac:dyDescent="0.25">
      <c r="A82" s="21" t="s">
        <v>208</v>
      </c>
      <c r="B82" s="5">
        <v>0</v>
      </c>
      <c r="C82" s="5">
        <v>1500</v>
      </c>
      <c r="D82" s="5">
        <v>3000</v>
      </c>
      <c r="E82" s="5">
        <v>3000</v>
      </c>
      <c r="F82" s="5">
        <v>3000</v>
      </c>
      <c r="G82" s="5">
        <v>3000</v>
      </c>
      <c r="H82" s="5">
        <v>3000</v>
      </c>
      <c r="I82" s="5">
        <v>3000</v>
      </c>
      <c r="J82" s="5">
        <v>3000</v>
      </c>
      <c r="K82" s="5">
        <v>3000</v>
      </c>
      <c r="L82" s="5">
        <v>3000</v>
      </c>
      <c r="M82" s="5">
        <v>0</v>
      </c>
      <c r="N82" s="63">
        <f>SUM(B82:M82)</f>
        <v>28500</v>
      </c>
      <c r="P82" s="58"/>
      <c r="Q82" s="8"/>
    </row>
    <row r="83" spans="1:17" outlineLevel="1" x14ac:dyDescent="0.25">
      <c r="A83" s="21" t="s">
        <v>206</v>
      </c>
      <c r="B83" s="5">
        <v>1950</v>
      </c>
      <c r="C83" s="5">
        <v>1950</v>
      </c>
      <c r="D83" s="5">
        <v>1950</v>
      </c>
      <c r="E83" s="5">
        <v>1950</v>
      </c>
      <c r="F83" s="5">
        <v>1950</v>
      </c>
      <c r="G83" s="5">
        <v>1950</v>
      </c>
      <c r="H83" s="5">
        <v>1950</v>
      </c>
      <c r="I83" s="5">
        <v>1950</v>
      </c>
      <c r="J83" s="5">
        <v>1950</v>
      </c>
      <c r="K83" s="5">
        <f>1950/2</f>
        <v>975</v>
      </c>
      <c r="L83" s="5"/>
      <c r="M83" s="5">
        <v>0</v>
      </c>
      <c r="N83" s="63">
        <f>SUM(B83:M83)</f>
        <v>18525</v>
      </c>
      <c r="O83" s="60">
        <v>0</v>
      </c>
      <c r="P83" s="58">
        <v>0</v>
      </c>
      <c r="Q83" s="8"/>
    </row>
    <row r="84" spans="1:17" outlineLevel="1" x14ac:dyDescent="0.25">
      <c r="A84" s="21" t="s">
        <v>58</v>
      </c>
      <c r="B84" s="5">
        <v>1500</v>
      </c>
      <c r="C84" s="5">
        <v>1500</v>
      </c>
      <c r="D84" s="5">
        <v>500</v>
      </c>
      <c r="E84" s="5">
        <f t="shared" ref="E84:M84" si="30">D84</f>
        <v>500</v>
      </c>
      <c r="F84" s="5">
        <f t="shared" si="30"/>
        <v>500</v>
      </c>
      <c r="G84" s="5">
        <f t="shared" si="30"/>
        <v>500</v>
      </c>
      <c r="H84" s="5">
        <f t="shared" si="30"/>
        <v>500</v>
      </c>
      <c r="I84" s="5">
        <f t="shared" si="30"/>
        <v>500</v>
      </c>
      <c r="J84" s="5">
        <f t="shared" si="30"/>
        <v>500</v>
      </c>
      <c r="K84" s="5">
        <f t="shared" si="30"/>
        <v>500</v>
      </c>
      <c r="L84" s="5">
        <f t="shared" si="30"/>
        <v>500</v>
      </c>
      <c r="M84" s="5">
        <f t="shared" si="30"/>
        <v>500</v>
      </c>
      <c r="N84" s="63">
        <f>SUM(B84:M84)</f>
        <v>8000</v>
      </c>
      <c r="P84" s="58"/>
      <c r="Q84" s="8"/>
    </row>
    <row r="85" spans="1:17" outlineLevel="1" x14ac:dyDescent="0.25">
      <c r="A85" s="21" t="s">
        <v>111</v>
      </c>
      <c r="B85" s="18">
        <v>300</v>
      </c>
      <c r="C85" s="5">
        <f>B85</f>
        <v>300</v>
      </c>
      <c r="D85" s="18">
        <v>57</v>
      </c>
      <c r="E85" s="18">
        <v>57</v>
      </c>
      <c r="F85" s="18">
        <v>57</v>
      </c>
      <c r="G85" s="18">
        <v>57</v>
      </c>
      <c r="H85" s="18">
        <v>57</v>
      </c>
      <c r="I85" s="18">
        <v>57</v>
      </c>
      <c r="J85" s="18">
        <v>57</v>
      </c>
      <c r="K85" s="18">
        <v>57</v>
      </c>
      <c r="L85" s="18">
        <v>57</v>
      </c>
      <c r="M85" s="18">
        <v>57</v>
      </c>
      <c r="N85" s="63">
        <f>SUM(B85:M85)</f>
        <v>1170</v>
      </c>
      <c r="O85" s="60">
        <v>700</v>
      </c>
      <c r="P85" s="58">
        <v>700</v>
      </c>
      <c r="Q85" s="8"/>
    </row>
    <row r="86" spans="1:17" outlineLevel="1" x14ac:dyDescent="0.25">
      <c r="A86" s="21" t="s">
        <v>161</v>
      </c>
      <c r="B86" s="18">
        <v>3800</v>
      </c>
      <c r="C86" s="18">
        <v>3000</v>
      </c>
      <c r="D86" s="18">
        <v>3000</v>
      </c>
      <c r="E86" s="18">
        <v>3000</v>
      </c>
      <c r="F86" s="18">
        <v>3000</v>
      </c>
      <c r="G86" s="18">
        <v>3000</v>
      </c>
      <c r="H86" s="18">
        <v>3000</v>
      </c>
      <c r="I86" s="18">
        <v>3000</v>
      </c>
      <c r="J86" s="18">
        <v>3000</v>
      </c>
      <c r="K86" s="18">
        <v>3000</v>
      </c>
      <c r="L86" s="18">
        <v>3000</v>
      </c>
      <c r="M86" s="18">
        <v>3000</v>
      </c>
      <c r="N86" s="63">
        <f>SUM(B86:M86)</f>
        <v>36800</v>
      </c>
      <c r="O86" s="60">
        <v>36000</v>
      </c>
      <c r="P86" s="58">
        <v>36000</v>
      </c>
      <c r="Q86" s="8"/>
    </row>
    <row r="87" spans="1:17" outlineLevel="1" x14ac:dyDescent="0.25">
      <c r="A87" s="21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61"/>
      <c r="O87" s="58"/>
      <c r="P87" s="58"/>
      <c r="Q87" s="8"/>
    </row>
    <row r="88" spans="1:17" outlineLevel="1" x14ac:dyDescent="0.25">
      <c r="A88" s="19" t="s">
        <v>22</v>
      </c>
      <c r="B88" s="5">
        <f t="shared" ref="B88:M88" si="31">SUM(B75:B87)</f>
        <v>14795</v>
      </c>
      <c r="C88" s="5">
        <f t="shared" si="31"/>
        <v>14946.31748</v>
      </c>
      <c r="D88" s="5">
        <f t="shared" si="31"/>
        <v>16503.317479999998</v>
      </c>
      <c r="E88" s="5">
        <f t="shared" si="31"/>
        <v>16503.317479999998</v>
      </c>
      <c r="F88" s="5">
        <f t="shared" si="31"/>
        <v>17503.317479999998</v>
      </c>
      <c r="G88" s="5">
        <f t="shared" si="31"/>
        <v>16503.317479999998</v>
      </c>
      <c r="H88" s="5">
        <f t="shared" si="31"/>
        <v>16503.317479999998</v>
      </c>
      <c r="I88" s="5">
        <f t="shared" si="31"/>
        <v>16503.317479999998</v>
      </c>
      <c r="J88" s="5">
        <f t="shared" si="31"/>
        <v>16503.317479999998</v>
      </c>
      <c r="K88" s="5">
        <f t="shared" si="31"/>
        <v>15528.31748</v>
      </c>
      <c r="L88" s="5">
        <f t="shared" si="31"/>
        <v>14553.31748</v>
      </c>
      <c r="M88" s="5">
        <f t="shared" si="31"/>
        <v>4102</v>
      </c>
      <c r="N88" s="61">
        <f>SUM(B88:M88)</f>
        <v>180448.17479999998</v>
      </c>
      <c r="O88" s="58"/>
      <c r="P88" s="58"/>
      <c r="Q88" s="8"/>
    </row>
    <row r="89" spans="1:17" outlineLevel="1" x14ac:dyDescent="0.25">
      <c r="A89" s="19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61"/>
      <c r="O89" s="58"/>
      <c r="P89" s="58"/>
      <c r="Q89" s="8"/>
    </row>
    <row r="90" spans="1:17" outlineLevel="1" x14ac:dyDescent="0.25">
      <c r="A90" s="19" t="s">
        <v>87</v>
      </c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63"/>
      <c r="O90" s="58"/>
      <c r="P90" s="58"/>
      <c r="Q90" s="8"/>
    </row>
    <row r="91" spans="1:17" outlineLevel="1" x14ac:dyDescent="0.25">
      <c r="A91" s="19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61"/>
      <c r="O91" s="58"/>
      <c r="P91" s="58"/>
      <c r="Q91" s="8"/>
    </row>
    <row r="92" spans="1:17" outlineLevel="1" x14ac:dyDescent="0.25">
      <c r="A92" s="21" t="s">
        <v>39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61"/>
      <c r="O92" s="58"/>
      <c r="P92" s="58"/>
      <c r="Q92" s="8"/>
    </row>
    <row r="93" spans="1:17" outlineLevel="1" x14ac:dyDescent="0.25">
      <c r="A93" s="21" t="s">
        <v>135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61">
        <f>SUM(B93:M93)</f>
        <v>0</v>
      </c>
      <c r="O93" s="58"/>
      <c r="P93" s="58"/>
      <c r="Q93" s="8"/>
    </row>
    <row r="94" spans="1:17" outlineLevel="1" x14ac:dyDescent="0.25">
      <c r="A94" s="51" t="s">
        <v>149</v>
      </c>
      <c r="B94" s="25">
        <v>0</v>
      </c>
      <c r="C94" s="25">
        <v>0</v>
      </c>
      <c r="D94" s="25">
        <v>0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65">
        <f>SUM(B94:M94)</f>
        <v>0</v>
      </c>
      <c r="P94" s="58"/>
      <c r="Q94" s="8"/>
    </row>
    <row r="95" spans="1:17" outlineLevel="1" x14ac:dyDescent="0.25">
      <c r="A95" s="19" t="s">
        <v>40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61">
        <v>0</v>
      </c>
      <c r="O95" s="58"/>
      <c r="P95" s="58"/>
      <c r="Q95" s="8"/>
    </row>
    <row r="96" spans="1:17" outlineLevel="1" x14ac:dyDescent="0.25">
      <c r="A96" s="19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61"/>
      <c r="O96" s="58"/>
      <c r="P96" s="58"/>
      <c r="Q96" s="8"/>
    </row>
    <row r="97" spans="1:18" outlineLevel="1" x14ac:dyDescent="0.25">
      <c r="A97" s="19" t="s">
        <v>19</v>
      </c>
      <c r="B97" s="5">
        <f t="shared" ref="B97:M97" si="32">SUM(B93:B96)</f>
        <v>0</v>
      </c>
      <c r="C97" s="5">
        <f t="shared" si="32"/>
        <v>0</v>
      </c>
      <c r="D97" s="5">
        <f t="shared" si="32"/>
        <v>0</v>
      </c>
      <c r="E97" s="5">
        <f t="shared" si="32"/>
        <v>0</v>
      </c>
      <c r="F97" s="5">
        <f t="shared" si="32"/>
        <v>0</v>
      </c>
      <c r="G97" s="5">
        <f t="shared" si="32"/>
        <v>0</v>
      </c>
      <c r="H97" s="5">
        <f t="shared" si="32"/>
        <v>0</v>
      </c>
      <c r="I97" s="5">
        <f t="shared" si="32"/>
        <v>0</v>
      </c>
      <c r="J97" s="5">
        <f t="shared" si="32"/>
        <v>0</v>
      </c>
      <c r="K97" s="5">
        <f t="shared" si="32"/>
        <v>0</v>
      </c>
      <c r="L97" s="5">
        <f t="shared" si="32"/>
        <v>0</v>
      </c>
      <c r="M97" s="5">
        <f t="shared" si="32"/>
        <v>0</v>
      </c>
      <c r="N97" s="61">
        <f>SUM(B97:M97)</f>
        <v>0</v>
      </c>
      <c r="O97" s="64"/>
      <c r="P97" s="58"/>
      <c r="Q97" s="8"/>
    </row>
    <row r="98" spans="1:18" outlineLevel="1" x14ac:dyDescent="0.25">
      <c r="A98" s="19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61"/>
      <c r="O98" s="58"/>
      <c r="P98" s="58"/>
      <c r="Q98" s="8"/>
    </row>
    <row r="99" spans="1:18" outlineLevel="1" x14ac:dyDescent="0.25">
      <c r="A99" s="21" t="s">
        <v>59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61">
        <f>SUM(B99:M99)</f>
        <v>0</v>
      </c>
      <c r="O99" s="58"/>
      <c r="P99" s="58"/>
      <c r="Q99" s="7"/>
      <c r="R99" s="1"/>
    </row>
    <row r="100" spans="1:18" outlineLevel="1" x14ac:dyDescent="0.25">
      <c r="A100" s="21" t="s">
        <v>60</v>
      </c>
      <c r="B100" s="18">
        <v>12.5</v>
      </c>
      <c r="C100" s="18">
        <v>12.5</v>
      </c>
      <c r="D100" s="18">
        <v>12.5</v>
      </c>
      <c r="E100" s="18">
        <v>12.5</v>
      </c>
      <c r="F100" s="18">
        <v>12.5</v>
      </c>
      <c r="G100" s="18">
        <v>12.5</v>
      </c>
      <c r="H100" s="18">
        <v>12.5</v>
      </c>
      <c r="I100" s="18">
        <v>12.5</v>
      </c>
      <c r="J100" s="18">
        <v>12.5</v>
      </c>
      <c r="K100" s="18">
        <v>12.5</v>
      </c>
      <c r="L100" s="18">
        <v>12.5</v>
      </c>
      <c r="M100" s="18">
        <v>12.5</v>
      </c>
      <c r="N100" s="61">
        <f>SUM(B100:M100)</f>
        <v>150</v>
      </c>
      <c r="O100" s="64">
        <v>300</v>
      </c>
      <c r="P100" s="58">
        <v>300</v>
      </c>
      <c r="Q100" s="7"/>
      <c r="R100" s="1"/>
    </row>
    <row r="101" spans="1:18" outlineLevel="1" x14ac:dyDescent="0.25">
      <c r="A101" s="21" t="s">
        <v>61</v>
      </c>
      <c r="B101" s="5">
        <v>700</v>
      </c>
      <c r="C101" s="5">
        <v>12.5</v>
      </c>
      <c r="D101" s="5">
        <v>12.5</v>
      </c>
      <c r="E101" s="5">
        <v>12.5</v>
      </c>
      <c r="F101" s="5">
        <v>12.5</v>
      </c>
      <c r="G101" s="5">
        <v>12.5</v>
      </c>
      <c r="H101" s="5">
        <v>12.5</v>
      </c>
      <c r="I101" s="5">
        <v>12.5</v>
      </c>
      <c r="J101" s="5">
        <v>12.5</v>
      </c>
      <c r="K101" s="5">
        <v>12.5</v>
      </c>
      <c r="L101" s="5">
        <v>12.5</v>
      </c>
      <c r="M101" s="5">
        <v>12.5</v>
      </c>
      <c r="N101" s="61">
        <f>SUM(B101:M101)</f>
        <v>837.5</v>
      </c>
      <c r="O101" s="60">
        <v>1000</v>
      </c>
      <c r="P101" s="58">
        <v>1100</v>
      </c>
      <c r="Q101" s="7"/>
      <c r="R101" s="1"/>
    </row>
    <row r="102" spans="1:18" outlineLevel="1" x14ac:dyDescent="0.25">
      <c r="A102" s="19" t="s">
        <v>138</v>
      </c>
      <c r="B102" s="5">
        <v>85</v>
      </c>
      <c r="C102" s="5">
        <v>85</v>
      </c>
      <c r="D102" s="5">
        <v>85</v>
      </c>
      <c r="E102" s="5">
        <v>85</v>
      </c>
      <c r="F102" s="5">
        <v>85</v>
      </c>
      <c r="G102" s="5">
        <v>85</v>
      </c>
      <c r="H102" s="5">
        <v>85</v>
      </c>
      <c r="I102" s="5">
        <v>85</v>
      </c>
      <c r="J102" s="5">
        <v>85</v>
      </c>
      <c r="K102" s="5">
        <v>85</v>
      </c>
      <c r="L102" s="5">
        <v>85</v>
      </c>
      <c r="M102" s="5">
        <v>85</v>
      </c>
      <c r="N102" s="61">
        <f>SUM(B102:M102)</f>
        <v>1020</v>
      </c>
      <c r="O102" s="58">
        <v>1200</v>
      </c>
      <c r="P102" s="58">
        <v>1200</v>
      </c>
      <c r="Q102" s="7"/>
      <c r="R102" s="1"/>
    </row>
    <row r="103" spans="1:18" outlineLevel="1" x14ac:dyDescent="0.25">
      <c r="A103" s="19" t="s">
        <v>158</v>
      </c>
      <c r="B103" s="5">
        <v>100</v>
      </c>
      <c r="C103" s="5">
        <v>100</v>
      </c>
      <c r="D103" s="5">
        <v>100</v>
      </c>
      <c r="E103" s="5">
        <v>100</v>
      </c>
      <c r="F103" s="5">
        <v>100</v>
      </c>
      <c r="G103" s="5">
        <v>100</v>
      </c>
      <c r="H103" s="5">
        <v>100</v>
      </c>
      <c r="I103" s="5">
        <v>100</v>
      </c>
      <c r="J103" s="5">
        <v>100</v>
      </c>
      <c r="K103" s="5">
        <v>100</v>
      </c>
      <c r="L103" s="5">
        <v>100</v>
      </c>
      <c r="M103" s="5">
        <v>100</v>
      </c>
      <c r="N103" s="61">
        <f>SUM(B103:M103)</f>
        <v>1200</v>
      </c>
      <c r="O103" s="58">
        <v>1200</v>
      </c>
      <c r="P103" s="58">
        <v>1200</v>
      </c>
      <c r="Q103" s="7"/>
      <c r="R103" s="1"/>
    </row>
    <row r="104" spans="1:18" outlineLevel="1" x14ac:dyDescent="0.25">
      <c r="A104" s="19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61"/>
      <c r="O104" s="58"/>
      <c r="P104" s="58"/>
      <c r="Q104" s="7"/>
      <c r="R104" s="1"/>
    </row>
    <row r="105" spans="1:18" outlineLevel="1" x14ac:dyDescent="0.25">
      <c r="A105" s="19" t="s">
        <v>20</v>
      </c>
      <c r="B105" s="5">
        <f t="shared" ref="B105:M105" si="33">SUM(B99:B104)</f>
        <v>897.5</v>
      </c>
      <c r="C105" s="5">
        <f t="shared" si="33"/>
        <v>210</v>
      </c>
      <c r="D105" s="5">
        <f t="shared" si="33"/>
        <v>210</v>
      </c>
      <c r="E105" s="5">
        <f t="shared" si="33"/>
        <v>210</v>
      </c>
      <c r="F105" s="5">
        <f t="shared" si="33"/>
        <v>210</v>
      </c>
      <c r="G105" s="5">
        <f t="shared" si="33"/>
        <v>210</v>
      </c>
      <c r="H105" s="5">
        <f t="shared" si="33"/>
        <v>210</v>
      </c>
      <c r="I105" s="5">
        <f t="shared" si="33"/>
        <v>210</v>
      </c>
      <c r="J105" s="5">
        <f t="shared" si="33"/>
        <v>210</v>
      </c>
      <c r="K105" s="5">
        <f t="shared" si="33"/>
        <v>210</v>
      </c>
      <c r="L105" s="5">
        <f t="shared" si="33"/>
        <v>210</v>
      </c>
      <c r="M105" s="5">
        <f t="shared" si="33"/>
        <v>210</v>
      </c>
      <c r="N105" s="61">
        <f>SUM(B105:M105)</f>
        <v>3207.5</v>
      </c>
      <c r="O105" s="64"/>
      <c r="P105" s="64"/>
      <c r="Q105" s="7"/>
      <c r="R105" s="1"/>
    </row>
    <row r="106" spans="1:18" ht="2.25" customHeight="1" outlineLevel="1" x14ac:dyDescent="0.25">
      <c r="A106" s="19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61"/>
      <c r="O106" s="58"/>
      <c r="P106" s="58"/>
      <c r="Q106" s="7"/>
      <c r="R106" s="1"/>
    </row>
    <row r="107" spans="1:18" x14ac:dyDescent="0.25">
      <c r="A107" s="22" t="s">
        <v>21</v>
      </c>
      <c r="B107" s="23">
        <f t="shared" ref="B107:M107" si="34">B88+B97+B105</f>
        <v>15692.5</v>
      </c>
      <c r="C107" s="23">
        <f t="shared" si="34"/>
        <v>15156.31748</v>
      </c>
      <c r="D107" s="23">
        <f t="shared" si="34"/>
        <v>16713.317479999998</v>
      </c>
      <c r="E107" s="23">
        <f t="shared" si="34"/>
        <v>16713.317479999998</v>
      </c>
      <c r="F107" s="23">
        <f t="shared" si="34"/>
        <v>17713.317479999998</v>
      </c>
      <c r="G107" s="23">
        <f t="shared" si="34"/>
        <v>16713.317479999998</v>
      </c>
      <c r="H107" s="23">
        <f t="shared" si="34"/>
        <v>16713.317479999998</v>
      </c>
      <c r="I107" s="23">
        <f t="shared" si="34"/>
        <v>16713.317479999998</v>
      </c>
      <c r="J107" s="23">
        <f t="shared" si="34"/>
        <v>16713.317479999998</v>
      </c>
      <c r="K107" s="23">
        <f t="shared" si="34"/>
        <v>15738.31748</v>
      </c>
      <c r="L107" s="23">
        <f t="shared" si="34"/>
        <v>14763.31748</v>
      </c>
      <c r="M107" s="23">
        <f t="shared" si="34"/>
        <v>4312</v>
      </c>
      <c r="N107" s="68">
        <f>SUM(B107:M107)</f>
        <v>183655.67479999998</v>
      </c>
      <c r="O107" s="68">
        <f>SUM(O75:O105)</f>
        <v>132487.64978461538</v>
      </c>
      <c r="P107" s="68">
        <f>SUM(P75:P105)</f>
        <v>139328.11226153845</v>
      </c>
      <c r="Q107" s="7"/>
      <c r="R107" s="1"/>
    </row>
    <row r="108" spans="1:18" outlineLevel="1" x14ac:dyDescent="0.25">
      <c r="A108" s="32" t="s">
        <v>12</v>
      </c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73"/>
      <c r="O108" s="58"/>
      <c r="P108" s="58"/>
      <c r="Q108" s="7"/>
      <c r="R108" s="1"/>
    </row>
    <row r="109" spans="1:18" outlineLevel="1" x14ac:dyDescent="0.25">
      <c r="A109" s="32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63"/>
      <c r="O109" s="58"/>
      <c r="P109" s="58"/>
      <c r="Q109" s="7"/>
      <c r="R109" s="1"/>
    </row>
    <row r="110" spans="1:18" outlineLevel="1" x14ac:dyDescent="0.25">
      <c r="A110" s="32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63">
        <f t="shared" ref="N110:N116" si="35">SUM(B110:M110)</f>
        <v>0</v>
      </c>
      <c r="O110" s="58"/>
      <c r="P110" s="58"/>
      <c r="Q110" s="7"/>
      <c r="R110" s="1"/>
    </row>
    <row r="111" spans="1:18" outlineLevel="1" x14ac:dyDescent="0.25">
      <c r="A111" s="34" t="s">
        <v>62</v>
      </c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63">
        <f t="shared" si="35"/>
        <v>0</v>
      </c>
      <c r="O111" s="58"/>
      <c r="P111" s="58"/>
      <c r="Q111" s="7"/>
      <c r="R111" s="1"/>
    </row>
    <row r="112" spans="1:18" outlineLevel="1" x14ac:dyDescent="0.25">
      <c r="A112" s="34" t="s">
        <v>63</v>
      </c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63">
        <f t="shared" si="35"/>
        <v>0</v>
      </c>
      <c r="O112" s="58"/>
      <c r="P112" s="58"/>
      <c r="Q112" s="7"/>
      <c r="R112" s="1"/>
    </row>
    <row r="113" spans="1:18" outlineLevel="1" x14ac:dyDescent="0.25">
      <c r="A113" s="34" t="s">
        <v>154</v>
      </c>
      <c r="B113" s="5">
        <v>21100</v>
      </c>
      <c r="C113" s="5">
        <v>21100</v>
      </c>
      <c r="D113" s="5">
        <v>21100</v>
      </c>
      <c r="E113" s="5">
        <v>21100</v>
      </c>
      <c r="F113" s="5">
        <v>21100</v>
      </c>
      <c r="G113" s="5">
        <v>21100</v>
      </c>
      <c r="H113" s="5">
        <v>21100</v>
      </c>
      <c r="I113" s="5">
        <v>21100</v>
      </c>
      <c r="J113" s="5">
        <v>21100</v>
      </c>
      <c r="K113" s="5">
        <v>21100</v>
      </c>
      <c r="L113" s="5">
        <v>21100</v>
      </c>
      <c r="M113" s="5">
        <v>21100</v>
      </c>
      <c r="N113" s="63">
        <f t="shared" si="35"/>
        <v>253200</v>
      </c>
      <c r="O113" s="58">
        <f>N113*1.05</f>
        <v>265860</v>
      </c>
      <c r="P113" s="58">
        <f>O113*1.05</f>
        <v>279153</v>
      </c>
      <c r="Q113" s="7"/>
      <c r="R113" s="1"/>
    </row>
    <row r="114" spans="1:18" outlineLevel="1" x14ac:dyDescent="0.25">
      <c r="A114" s="34" t="s">
        <v>207</v>
      </c>
      <c r="B114" s="5">
        <v>265</v>
      </c>
      <c r="C114" s="5">
        <v>265</v>
      </c>
      <c r="D114" s="5">
        <v>265</v>
      </c>
      <c r="E114" s="5">
        <v>265</v>
      </c>
      <c r="F114" s="5">
        <v>265</v>
      </c>
      <c r="G114" s="5">
        <v>265</v>
      </c>
      <c r="H114" s="5">
        <v>265</v>
      </c>
      <c r="I114" s="5">
        <v>265</v>
      </c>
      <c r="J114" s="5">
        <v>265</v>
      </c>
      <c r="K114" s="5">
        <v>265</v>
      </c>
      <c r="L114" s="5">
        <v>265</v>
      </c>
      <c r="M114" s="5">
        <v>265</v>
      </c>
      <c r="N114" s="63">
        <f t="shared" si="35"/>
        <v>3180</v>
      </c>
      <c r="O114" s="58"/>
      <c r="P114" s="58"/>
      <c r="Q114" s="7"/>
      <c r="R114" s="1"/>
    </row>
    <row r="115" spans="1:18" outlineLevel="1" x14ac:dyDescent="0.25">
      <c r="A115" s="32" t="s">
        <v>204</v>
      </c>
      <c r="B115" s="5"/>
      <c r="C115" s="5">
        <v>2500</v>
      </c>
      <c r="D115" s="5">
        <v>2500</v>
      </c>
      <c r="E115" s="5">
        <v>2500</v>
      </c>
      <c r="F115" s="5">
        <v>2000</v>
      </c>
      <c r="G115" s="5">
        <v>1200</v>
      </c>
      <c r="H115" s="5">
        <v>2500</v>
      </c>
      <c r="I115" s="5">
        <v>2500</v>
      </c>
      <c r="J115" s="5">
        <v>2000</v>
      </c>
      <c r="K115" s="5">
        <v>2500</v>
      </c>
      <c r="L115" s="5">
        <v>2500</v>
      </c>
      <c r="M115" s="5"/>
      <c r="N115" s="63">
        <f t="shared" si="35"/>
        <v>22700</v>
      </c>
      <c r="O115" s="58">
        <v>18000</v>
      </c>
      <c r="P115" s="58">
        <v>18000</v>
      </c>
      <c r="Q115" s="7"/>
      <c r="R115" s="1"/>
    </row>
    <row r="116" spans="1:18" outlineLevel="1" x14ac:dyDescent="0.25">
      <c r="A116" s="32" t="s">
        <v>109</v>
      </c>
      <c r="B116" s="5">
        <f t="shared" ref="B116:M116" si="36">SUM(B110:B115)</f>
        <v>21365</v>
      </c>
      <c r="C116" s="5">
        <f t="shared" si="36"/>
        <v>23865</v>
      </c>
      <c r="D116" s="5">
        <f t="shared" si="36"/>
        <v>23865</v>
      </c>
      <c r="E116" s="5">
        <f t="shared" si="36"/>
        <v>23865</v>
      </c>
      <c r="F116" s="5">
        <f t="shared" si="36"/>
        <v>23365</v>
      </c>
      <c r="G116" s="5">
        <f t="shared" si="36"/>
        <v>22565</v>
      </c>
      <c r="H116" s="5">
        <f t="shared" si="36"/>
        <v>23865</v>
      </c>
      <c r="I116" s="5">
        <f t="shared" si="36"/>
        <v>23865</v>
      </c>
      <c r="J116" s="5">
        <f t="shared" si="36"/>
        <v>23365</v>
      </c>
      <c r="K116" s="5">
        <f t="shared" si="36"/>
        <v>23865</v>
      </c>
      <c r="L116" s="5">
        <f t="shared" si="36"/>
        <v>23865</v>
      </c>
      <c r="M116" s="5">
        <f t="shared" si="36"/>
        <v>21365</v>
      </c>
      <c r="N116" s="61">
        <f t="shared" si="35"/>
        <v>279080</v>
      </c>
      <c r="O116" s="58"/>
      <c r="P116" s="58"/>
      <c r="Q116" s="7"/>
      <c r="R116" s="1"/>
    </row>
    <row r="117" spans="1:18" outlineLevel="1" x14ac:dyDescent="0.25">
      <c r="A117" s="32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61"/>
      <c r="O117" s="58"/>
      <c r="P117" s="58"/>
      <c r="Q117" s="7"/>
      <c r="R117" s="1"/>
    </row>
    <row r="118" spans="1:18" outlineLevel="1" x14ac:dyDescent="0.25">
      <c r="A118" s="32" t="s">
        <v>13</v>
      </c>
      <c r="B118" s="5">
        <v>5700</v>
      </c>
      <c r="C118" s="5">
        <v>5700</v>
      </c>
      <c r="D118" s="5">
        <v>5700</v>
      </c>
      <c r="E118" s="5">
        <v>5700</v>
      </c>
      <c r="F118" s="5">
        <v>5700</v>
      </c>
      <c r="G118" s="5">
        <v>5700</v>
      </c>
      <c r="H118" s="5">
        <v>5700</v>
      </c>
      <c r="I118" s="5">
        <v>5700</v>
      </c>
      <c r="J118" s="5">
        <v>5700</v>
      </c>
      <c r="K118" s="5">
        <v>5700</v>
      </c>
      <c r="L118" s="5">
        <v>5700</v>
      </c>
      <c r="M118" s="5">
        <v>5700</v>
      </c>
      <c r="N118" s="63">
        <f>SUM(B118:M118)</f>
        <v>68400</v>
      </c>
      <c r="O118" s="63">
        <v>6000</v>
      </c>
      <c r="P118" s="63">
        <v>6000</v>
      </c>
      <c r="Q118" s="7"/>
      <c r="R118" s="1"/>
    </row>
    <row r="119" spans="1:18" outlineLevel="1" x14ac:dyDescent="0.25">
      <c r="A119" s="32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61"/>
      <c r="O119" s="58"/>
      <c r="P119" s="58"/>
      <c r="Q119" s="7"/>
      <c r="R119" s="1"/>
    </row>
    <row r="120" spans="1:18" outlineLevel="1" x14ac:dyDescent="0.25">
      <c r="A120" s="34" t="s">
        <v>84</v>
      </c>
      <c r="B120" s="5">
        <v>50</v>
      </c>
      <c r="C120" s="5">
        <v>50</v>
      </c>
      <c r="D120" s="5">
        <v>50</v>
      </c>
      <c r="E120" s="5">
        <v>50</v>
      </c>
      <c r="F120" s="5">
        <v>50</v>
      </c>
      <c r="G120" s="5">
        <v>50</v>
      </c>
      <c r="H120" s="5">
        <v>50</v>
      </c>
      <c r="I120" s="5">
        <v>50</v>
      </c>
      <c r="J120" s="5">
        <v>50</v>
      </c>
      <c r="K120" s="5">
        <v>50</v>
      </c>
      <c r="L120" s="5">
        <v>50</v>
      </c>
      <c r="M120" s="5">
        <v>50</v>
      </c>
      <c r="N120" s="63">
        <f>SUM(B120:M120)</f>
        <v>600</v>
      </c>
      <c r="O120" s="60">
        <v>900</v>
      </c>
      <c r="P120" s="58">
        <v>900</v>
      </c>
      <c r="Q120" s="7"/>
      <c r="R120" s="1"/>
    </row>
    <row r="121" spans="1:18" outlineLevel="1" x14ac:dyDescent="0.25">
      <c r="A121" s="3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63">
        <f>SUM(B121:M121)</f>
        <v>0</v>
      </c>
      <c r="O121" s="58"/>
      <c r="P121" s="58"/>
      <c r="Q121" s="7"/>
      <c r="R121" s="1"/>
    </row>
    <row r="122" spans="1:18" outlineLevel="1" x14ac:dyDescent="0.25">
      <c r="A122" s="34" t="s">
        <v>85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  <c r="G122" s="5">
        <v>0</v>
      </c>
      <c r="H122" s="5">
        <v>0</v>
      </c>
      <c r="I122" s="5">
        <v>0</v>
      </c>
      <c r="J122" s="5">
        <v>0</v>
      </c>
      <c r="K122" s="5">
        <v>0</v>
      </c>
      <c r="L122" s="5">
        <v>0</v>
      </c>
      <c r="M122" s="5">
        <v>0</v>
      </c>
      <c r="N122" s="63">
        <f>SUM(B122:M122)</f>
        <v>0</v>
      </c>
      <c r="O122" s="58"/>
      <c r="P122" s="58"/>
      <c r="Q122" s="7"/>
      <c r="R122" s="1"/>
    </row>
    <row r="123" spans="1:18" outlineLevel="1" x14ac:dyDescent="0.25">
      <c r="A123" s="34" t="s">
        <v>86</v>
      </c>
      <c r="B123" s="5">
        <v>500</v>
      </c>
      <c r="C123" s="5">
        <v>500</v>
      </c>
      <c r="D123" s="5">
        <v>500</v>
      </c>
      <c r="E123" s="5">
        <v>500</v>
      </c>
      <c r="F123" s="5">
        <v>500</v>
      </c>
      <c r="G123" s="5">
        <v>500</v>
      </c>
      <c r="H123" s="5">
        <v>500</v>
      </c>
      <c r="I123" s="5">
        <v>500</v>
      </c>
      <c r="J123" s="5">
        <v>500</v>
      </c>
      <c r="K123" s="5">
        <v>500</v>
      </c>
      <c r="L123" s="5">
        <v>500</v>
      </c>
      <c r="M123" s="5">
        <v>500</v>
      </c>
      <c r="N123" s="63">
        <f>SUM(B123:M123)</f>
        <v>6000</v>
      </c>
      <c r="O123" s="60">
        <v>6000</v>
      </c>
      <c r="P123" s="58">
        <v>6000</v>
      </c>
      <c r="Q123" s="7"/>
      <c r="R123" s="1"/>
    </row>
    <row r="124" spans="1:18" outlineLevel="1" x14ac:dyDescent="0.25">
      <c r="A124" s="34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63">
        <f>SUM(B124:M124)</f>
        <v>0</v>
      </c>
      <c r="P124" s="58"/>
      <c r="Q124" s="7"/>
      <c r="R124" s="1"/>
    </row>
    <row r="125" spans="1:18" outlineLevel="1" x14ac:dyDescent="0.25">
      <c r="A125" s="32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61"/>
      <c r="O125" s="58"/>
      <c r="P125" s="58"/>
      <c r="Q125" s="7"/>
      <c r="R125" s="1"/>
    </row>
    <row r="126" spans="1:18" outlineLevel="1" x14ac:dyDescent="0.25">
      <c r="A126" s="32" t="s">
        <v>14</v>
      </c>
      <c r="B126" s="5">
        <f>SUM(B118:B125)</f>
        <v>6250</v>
      </c>
      <c r="C126" s="5">
        <f t="shared" ref="C126:M126" si="37">SUM(C118:C125)</f>
        <v>6250</v>
      </c>
      <c r="D126" s="5">
        <f t="shared" si="37"/>
        <v>6250</v>
      </c>
      <c r="E126" s="5">
        <f t="shared" si="37"/>
        <v>6250</v>
      </c>
      <c r="F126" s="5">
        <f t="shared" si="37"/>
        <v>6250</v>
      </c>
      <c r="G126" s="5">
        <f t="shared" si="37"/>
        <v>6250</v>
      </c>
      <c r="H126" s="5">
        <f t="shared" si="37"/>
        <v>6250</v>
      </c>
      <c r="I126" s="5">
        <f t="shared" si="37"/>
        <v>6250</v>
      </c>
      <c r="J126" s="5">
        <f t="shared" si="37"/>
        <v>6250</v>
      </c>
      <c r="K126" s="5">
        <f t="shared" si="37"/>
        <v>6250</v>
      </c>
      <c r="L126" s="5">
        <f t="shared" si="37"/>
        <v>6250</v>
      </c>
      <c r="M126" s="5">
        <f t="shared" si="37"/>
        <v>6250</v>
      </c>
      <c r="N126" s="61">
        <f>SUM(B126:M126)</f>
        <v>75000</v>
      </c>
      <c r="O126" s="58">
        <v>75000</v>
      </c>
      <c r="P126" s="58">
        <v>75000</v>
      </c>
      <c r="Q126" s="7"/>
      <c r="R126" s="1"/>
    </row>
    <row r="127" spans="1:18" outlineLevel="1" x14ac:dyDescent="0.25">
      <c r="A127" s="32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61"/>
      <c r="O127" s="58"/>
      <c r="P127" s="58"/>
      <c r="Q127" s="7"/>
      <c r="R127" s="1"/>
    </row>
    <row r="128" spans="1:18" outlineLevel="1" x14ac:dyDescent="0.25">
      <c r="A128" s="32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61"/>
      <c r="O128" s="58"/>
      <c r="P128" s="58"/>
      <c r="Q128" s="7"/>
      <c r="R128" s="1"/>
    </row>
    <row r="129" spans="1:18" outlineLevel="1" x14ac:dyDescent="0.25">
      <c r="A129" s="32" t="s">
        <v>127</v>
      </c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61"/>
      <c r="O129" s="58"/>
      <c r="P129" s="58"/>
      <c r="Q129" s="7"/>
      <c r="R129" s="1"/>
    </row>
    <row r="130" spans="1:18" outlineLevel="1" x14ac:dyDescent="0.25">
      <c r="A130" s="32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61"/>
      <c r="O130" s="63"/>
      <c r="P130" s="63"/>
      <c r="Q130" s="7"/>
      <c r="R130" s="1"/>
    </row>
    <row r="131" spans="1:18" outlineLevel="1" x14ac:dyDescent="0.25">
      <c r="A131" s="34" t="s">
        <v>126</v>
      </c>
      <c r="B131" s="5">
        <v>0</v>
      </c>
      <c r="C131" s="5">
        <f>B131</f>
        <v>0</v>
      </c>
      <c r="D131" s="5">
        <f t="shared" ref="D131:M131" si="38">C131</f>
        <v>0</v>
      </c>
      <c r="E131" s="5">
        <f t="shared" si="38"/>
        <v>0</v>
      </c>
      <c r="F131" s="5">
        <f t="shared" si="38"/>
        <v>0</v>
      </c>
      <c r="G131" s="5">
        <f t="shared" si="38"/>
        <v>0</v>
      </c>
      <c r="H131" s="5">
        <f t="shared" si="38"/>
        <v>0</v>
      </c>
      <c r="I131" s="5">
        <f t="shared" si="38"/>
        <v>0</v>
      </c>
      <c r="J131" s="5">
        <f t="shared" si="38"/>
        <v>0</v>
      </c>
      <c r="K131" s="5">
        <f t="shared" si="38"/>
        <v>0</v>
      </c>
      <c r="L131" s="5">
        <f t="shared" si="38"/>
        <v>0</v>
      </c>
      <c r="M131" s="5">
        <f t="shared" si="38"/>
        <v>0</v>
      </c>
      <c r="N131" s="63">
        <f>SUM(B131:M131)</f>
        <v>0</v>
      </c>
      <c r="O131" s="63"/>
      <c r="P131" s="63"/>
      <c r="Q131" s="7"/>
      <c r="R131" s="1"/>
    </row>
    <row r="132" spans="1:18" outlineLevel="1" x14ac:dyDescent="0.25">
      <c r="A132" s="32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61"/>
      <c r="O132" s="58"/>
      <c r="P132" s="58"/>
      <c r="Q132" s="7"/>
      <c r="R132" s="1"/>
    </row>
    <row r="133" spans="1:18" outlineLevel="1" x14ac:dyDescent="0.25">
      <c r="A133" s="32" t="s">
        <v>128</v>
      </c>
      <c r="B133" s="5">
        <f t="shared" ref="B133:M133" si="39">SUM(B131:B132)</f>
        <v>0</v>
      </c>
      <c r="C133" s="5">
        <f t="shared" si="39"/>
        <v>0</v>
      </c>
      <c r="D133" s="5">
        <f t="shared" si="39"/>
        <v>0</v>
      </c>
      <c r="E133" s="5">
        <f t="shared" si="39"/>
        <v>0</v>
      </c>
      <c r="F133" s="5">
        <f t="shared" si="39"/>
        <v>0</v>
      </c>
      <c r="G133" s="5">
        <f t="shared" si="39"/>
        <v>0</v>
      </c>
      <c r="H133" s="5">
        <f t="shared" si="39"/>
        <v>0</v>
      </c>
      <c r="I133" s="5">
        <f t="shared" si="39"/>
        <v>0</v>
      </c>
      <c r="J133" s="5">
        <f t="shared" si="39"/>
        <v>0</v>
      </c>
      <c r="K133" s="5">
        <f t="shared" si="39"/>
        <v>0</v>
      </c>
      <c r="L133" s="5">
        <f t="shared" si="39"/>
        <v>0</v>
      </c>
      <c r="M133" s="5">
        <f t="shared" si="39"/>
        <v>0</v>
      </c>
      <c r="N133" s="61">
        <f>SUM(B133:M133)</f>
        <v>0</v>
      </c>
      <c r="O133" s="58"/>
      <c r="P133" s="58"/>
      <c r="Q133" s="7"/>
      <c r="R133" s="1"/>
    </row>
    <row r="134" spans="1:18" outlineLevel="1" x14ac:dyDescent="0.25">
      <c r="A134" s="32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61"/>
      <c r="O134" s="58"/>
      <c r="P134" s="58"/>
      <c r="Q134" s="7"/>
      <c r="R134" s="1"/>
    </row>
    <row r="135" spans="1:18" x14ac:dyDescent="0.25">
      <c r="A135" s="35" t="s">
        <v>180</v>
      </c>
      <c r="B135" s="36">
        <f t="shared" ref="B135:M135" si="40">B116+B126+B133</f>
        <v>27615</v>
      </c>
      <c r="C135" s="36">
        <f t="shared" si="40"/>
        <v>30115</v>
      </c>
      <c r="D135" s="36">
        <f t="shared" si="40"/>
        <v>30115</v>
      </c>
      <c r="E135" s="36">
        <f t="shared" si="40"/>
        <v>30115</v>
      </c>
      <c r="F135" s="36">
        <f t="shared" si="40"/>
        <v>29615</v>
      </c>
      <c r="G135" s="36">
        <f t="shared" si="40"/>
        <v>28815</v>
      </c>
      <c r="H135" s="36">
        <f t="shared" si="40"/>
        <v>30115</v>
      </c>
      <c r="I135" s="36">
        <f t="shared" si="40"/>
        <v>30115</v>
      </c>
      <c r="J135" s="36">
        <f t="shared" si="40"/>
        <v>29615</v>
      </c>
      <c r="K135" s="36">
        <f t="shared" si="40"/>
        <v>30115</v>
      </c>
      <c r="L135" s="36">
        <f t="shared" si="40"/>
        <v>30115</v>
      </c>
      <c r="M135" s="36">
        <f t="shared" si="40"/>
        <v>27615</v>
      </c>
      <c r="N135" s="75">
        <f>SUM(B135:M135)</f>
        <v>354080</v>
      </c>
      <c r="O135" s="75">
        <f>SUM(O111:O134)</f>
        <v>371760</v>
      </c>
      <c r="P135" s="75">
        <f>SUM(P111:P134)</f>
        <v>385053</v>
      </c>
      <c r="Q135" s="7"/>
      <c r="R135" s="1"/>
    </row>
    <row r="136" spans="1:18" outlineLevel="1" x14ac:dyDescent="0.25">
      <c r="A136" s="37" t="s">
        <v>23</v>
      </c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76"/>
      <c r="O136" s="58"/>
      <c r="P136" s="58"/>
      <c r="Q136" s="7"/>
      <c r="R136" s="1"/>
    </row>
    <row r="137" spans="1:18" outlineLevel="1" x14ac:dyDescent="0.25">
      <c r="A137" s="37"/>
      <c r="B137" s="5"/>
      <c r="C137" s="5"/>
      <c r="D137" s="5"/>
      <c r="E137" s="5"/>
      <c r="F137" s="5"/>
      <c r="G137" s="5"/>
      <c r="H137" s="5"/>
      <c r="I137" s="5"/>
      <c r="J137" s="5"/>
      <c r="K137" s="5" t="s">
        <v>184</v>
      </c>
      <c r="L137" s="5"/>
      <c r="M137" s="5"/>
      <c r="N137" s="61"/>
      <c r="O137" s="58"/>
      <c r="P137" s="58"/>
      <c r="Q137" s="7"/>
      <c r="R137" s="1"/>
    </row>
    <row r="138" spans="1:18" outlineLevel="1" x14ac:dyDescent="0.25">
      <c r="A138" s="39" t="s">
        <v>24</v>
      </c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61"/>
      <c r="O138" s="58"/>
      <c r="P138" s="58"/>
      <c r="Q138" s="7"/>
      <c r="R138" s="1"/>
    </row>
    <row r="139" spans="1:18" outlineLevel="1" x14ac:dyDescent="0.25">
      <c r="A139" s="39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61"/>
      <c r="O139" s="58"/>
      <c r="P139" s="58"/>
      <c r="Q139" s="7"/>
      <c r="R139" s="1"/>
    </row>
    <row r="140" spans="1:18" outlineLevel="1" x14ac:dyDescent="0.25">
      <c r="A140" s="39" t="s">
        <v>64</v>
      </c>
      <c r="B140" s="5">
        <v>0</v>
      </c>
      <c r="C140" s="5">
        <v>1700</v>
      </c>
      <c r="D140" s="5">
        <v>0</v>
      </c>
      <c r="E140" s="5">
        <v>0</v>
      </c>
      <c r="F140" s="5">
        <v>1700</v>
      </c>
      <c r="G140" s="5">
        <v>0</v>
      </c>
      <c r="H140" s="5">
        <v>0</v>
      </c>
      <c r="I140" s="5">
        <v>1700</v>
      </c>
      <c r="J140" s="5"/>
      <c r="K140" s="5">
        <v>0</v>
      </c>
      <c r="L140" s="5">
        <v>1652</v>
      </c>
      <c r="M140" s="5">
        <v>0</v>
      </c>
      <c r="N140" s="63">
        <f>SUM(B140:M140)</f>
        <v>6752</v>
      </c>
      <c r="O140" s="63">
        <v>8000</v>
      </c>
      <c r="P140" s="58">
        <v>8200</v>
      </c>
      <c r="Q140" s="7"/>
      <c r="R140" s="1"/>
    </row>
    <row r="141" spans="1:18" outlineLevel="1" x14ac:dyDescent="0.25">
      <c r="A141" s="39" t="s">
        <v>65</v>
      </c>
      <c r="N141" s="63">
        <f>SUM(B141:M141)</f>
        <v>0</v>
      </c>
      <c r="O141" s="58"/>
      <c r="P141" s="58"/>
      <c r="Q141" s="7"/>
      <c r="R141" s="1"/>
    </row>
    <row r="142" spans="1:18" outlineLevel="1" x14ac:dyDescent="0.25">
      <c r="A142" s="39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63">
        <f>SUM(B142:M142)</f>
        <v>0</v>
      </c>
      <c r="O142" s="58"/>
      <c r="P142" s="58"/>
      <c r="Q142" s="7"/>
      <c r="R142" s="1"/>
    </row>
    <row r="143" spans="1:18" outlineLevel="1" x14ac:dyDescent="0.25">
      <c r="A143" s="39" t="s">
        <v>83</v>
      </c>
      <c r="B143" s="5">
        <v>750</v>
      </c>
      <c r="C143" s="5">
        <v>750</v>
      </c>
      <c r="D143" s="5">
        <v>750</v>
      </c>
      <c r="E143" s="5">
        <v>750</v>
      </c>
      <c r="F143" s="5">
        <v>750</v>
      </c>
      <c r="G143" s="5">
        <v>750</v>
      </c>
      <c r="H143" s="5">
        <v>750</v>
      </c>
      <c r="I143" s="5">
        <v>750</v>
      </c>
      <c r="J143" s="5">
        <v>750</v>
      </c>
      <c r="K143" s="5">
        <v>750</v>
      </c>
      <c r="L143" s="5">
        <v>750</v>
      </c>
      <c r="M143" s="5">
        <v>750</v>
      </c>
      <c r="N143" s="63">
        <f>SUM(B143:M143)</f>
        <v>9000</v>
      </c>
      <c r="O143" s="60">
        <v>9000</v>
      </c>
      <c r="P143" s="64">
        <v>9000</v>
      </c>
      <c r="Q143" s="7"/>
      <c r="R143" s="1"/>
    </row>
    <row r="144" spans="1:18" outlineLevel="1" x14ac:dyDescent="0.25">
      <c r="A144" s="39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61"/>
      <c r="O144" s="58"/>
      <c r="P144" s="58"/>
      <c r="Q144" s="7"/>
      <c r="R144" s="1"/>
    </row>
    <row r="145" spans="1:18" outlineLevel="1" x14ac:dyDescent="0.25">
      <c r="A145" s="37" t="s">
        <v>25</v>
      </c>
      <c r="B145" s="5">
        <f t="shared" ref="B145:M145" si="41">SUM(B140:B144)</f>
        <v>750</v>
      </c>
      <c r="C145" s="5">
        <f t="shared" si="41"/>
        <v>2450</v>
      </c>
      <c r="D145" s="5">
        <f t="shared" si="41"/>
        <v>750</v>
      </c>
      <c r="E145" s="5">
        <f t="shared" si="41"/>
        <v>750</v>
      </c>
      <c r="F145" s="5">
        <f t="shared" si="41"/>
        <v>2450</v>
      </c>
      <c r="G145" s="5">
        <f t="shared" si="41"/>
        <v>750</v>
      </c>
      <c r="H145" s="5">
        <f t="shared" si="41"/>
        <v>750</v>
      </c>
      <c r="I145" s="5">
        <f t="shared" si="41"/>
        <v>2450</v>
      </c>
      <c r="J145" s="5">
        <f t="shared" si="41"/>
        <v>750</v>
      </c>
      <c r="K145" s="5">
        <f t="shared" si="41"/>
        <v>750</v>
      </c>
      <c r="L145" s="5">
        <f t="shared" si="41"/>
        <v>2402</v>
      </c>
      <c r="M145" s="5">
        <f t="shared" si="41"/>
        <v>750</v>
      </c>
      <c r="N145" s="61">
        <f>SUM(B145:M145)</f>
        <v>15752</v>
      </c>
      <c r="O145" s="58"/>
      <c r="P145" s="58"/>
      <c r="Q145" s="7"/>
      <c r="R145" s="1"/>
    </row>
    <row r="146" spans="1:18" outlineLevel="1" x14ac:dyDescent="0.25">
      <c r="A146" s="37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61"/>
      <c r="O146" s="58"/>
      <c r="P146" s="58"/>
      <c r="Q146" s="7"/>
      <c r="R146" s="1"/>
    </row>
    <row r="147" spans="1:18" outlineLevel="1" x14ac:dyDescent="0.25">
      <c r="A147" s="37" t="s">
        <v>26</v>
      </c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61"/>
      <c r="O147" s="58"/>
      <c r="P147" s="58"/>
      <c r="Q147" s="7"/>
      <c r="R147" s="1"/>
    </row>
    <row r="148" spans="1:18" outlineLevel="1" x14ac:dyDescent="0.25">
      <c r="A148" s="37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61"/>
      <c r="O148" s="58"/>
      <c r="P148" s="58"/>
      <c r="Q148" s="7"/>
      <c r="R148" s="1"/>
    </row>
    <row r="149" spans="1:18" outlineLevel="1" x14ac:dyDescent="0.25">
      <c r="A149" s="39" t="s">
        <v>66</v>
      </c>
      <c r="B149" s="5">
        <v>30</v>
      </c>
      <c r="C149" s="5">
        <v>30</v>
      </c>
      <c r="D149" s="5">
        <v>30</v>
      </c>
      <c r="E149" s="5">
        <v>30</v>
      </c>
      <c r="F149" s="5">
        <v>30</v>
      </c>
      <c r="G149" s="5">
        <v>30</v>
      </c>
      <c r="H149" s="5">
        <v>30</v>
      </c>
      <c r="I149" s="5">
        <v>30</v>
      </c>
      <c r="J149" s="5">
        <v>30</v>
      </c>
      <c r="K149" s="5">
        <v>30</v>
      </c>
      <c r="L149" s="5">
        <v>30</v>
      </c>
      <c r="M149" s="5">
        <v>30</v>
      </c>
      <c r="N149" s="63">
        <f>SUM(B149:M149)</f>
        <v>360</v>
      </c>
      <c r="O149" s="60">
        <v>396</v>
      </c>
      <c r="P149" s="58">
        <v>450</v>
      </c>
      <c r="Q149" s="7"/>
      <c r="R149" s="1"/>
    </row>
    <row r="150" spans="1:18" outlineLevel="1" x14ac:dyDescent="0.25">
      <c r="A150" s="39" t="s">
        <v>67</v>
      </c>
      <c r="B150" s="5">
        <v>620</v>
      </c>
      <c r="C150" s="5">
        <v>404</v>
      </c>
      <c r="D150" s="5">
        <v>394</v>
      </c>
      <c r="E150" s="5">
        <v>400</v>
      </c>
      <c r="F150" s="5">
        <v>400</v>
      </c>
      <c r="G150" s="5">
        <v>400</v>
      </c>
      <c r="H150" s="5">
        <v>400</v>
      </c>
      <c r="I150" s="5">
        <v>400</v>
      </c>
      <c r="J150" s="5">
        <v>400</v>
      </c>
      <c r="K150" s="5">
        <v>400</v>
      </c>
      <c r="L150" s="5">
        <v>400</v>
      </c>
      <c r="M150" s="5">
        <v>400</v>
      </c>
      <c r="N150" s="63">
        <f>SUM(B150:M150)</f>
        <v>5018</v>
      </c>
      <c r="O150" s="60">
        <v>5000</v>
      </c>
      <c r="P150" s="58">
        <v>5000</v>
      </c>
      <c r="Q150" s="7"/>
      <c r="R150" s="1"/>
    </row>
    <row r="151" spans="1:18" outlineLevel="1" x14ac:dyDescent="0.25">
      <c r="A151" s="39" t="s">
        <v>123</v>
      </c>
      <c r="B151" s="5">
        <v>240</v>
      </c>
      <c r="C151" s="5">
        <v>0</v>
      </c>
      <c r="D151" s="5">
        <v>123</v>
      </c>
      <c r="E151" s="5">
        <v>124</v>
      </c>
      <c r="F151" s="5">
        <v>123</v>
      </c>
      <c r="G151" s="5">
        <v>124</v>
      </c>
      <c r="H151" s="5">
        <v>123</v>
      </c>
      <c r="I151" s="5">
        <v>124</v>
      </c>
      <c r="J151" s="5">
        <v>124</v>
      </c>
      <c r="K151" s="5">
        <v>123</v>
      </c>
      <c r="L151" s="5">
        <v>124</v>
      </c>
      <c r="M151" s="5">
        <v>124</v>
      </c>
      <c r="N151" s="63">
        <f>SUM(B151:M151)</f>
        <v>1476</v>
      </c>
      <c r="O151" s="58">
        <v>1400</v>
      </c>
      <c r="P151" s="58">
        <v>1450</v>
      </c>
      <c r="Q151" s="7"/>
      <c r="R151" s="1"/>
    </row>
    <row r="152" spans="1:18" outlineLevel="1" x14ac:dyDescent="0.25">
      <c r="A152" s="39" t="s">
        <v>155</v>
      </c>
      <c r="B152" s="5">
        <v>500</v>
      </c>
      <c r="C152" s="5">
        <v>500</v>
      </c>
      <c r="D152" s="5">
        <v>500</v>
      </c>
      <c r="E152" s="5">
        <v>500</v>
      </c>
      <c r="F152" s="5">
        <v>500</v>
      </c>
      <c r="G152" s="5">
        <v>500</v>
      </c>
      <c r="H152" s="5">
        <v>500</v>
      </c>
      <c r="I152" s="5">
        <v>500</v>
      </c>
      <c r="J152" s="5">
        <v>500</v>
      </c>
      <c r="K152" s="5">
        <v>500</v>
      </c>
      <c r="L152" s="5">
        <v>500</v>
      </c>
      <c r="M152" s="5">
        <v>500</v>
      </c>
      <c r="N152" s="63">
        <f>SUM(B152:M152)</f>
        <v>6000</v>
      </c>
      <c r="O152" s="58">
        <v>6200</v>
      </c>
      <c r="P152" s="58">
        <v>6400</v>
      </c>
      <c r="Q152" s="7"/>
      <c r="R152" s="1"/>
    </row>
    <row r="153" spans="1:18" outlineLevel="1" x14ac:dyDescent="0.25">
      <c r="A153" s="39" t="s">
        <v>156</v>
      </c>
      <c r="B153" s="5">
        <v>100</v>
      </c>
      <c r="C153" s="5">
        <v>100</v>
      </c>
      <c r="D153" s="5">
        <v>100</v>
      </c>
      <c r="E153" s="5">
        <v>100</v>
      </c>
      <c r="F153" s="5">
        <v>100</v>
      </c>
      <c r="G153" s="5">
        <v>100</v>
      </c>
      <c r="H153" s="5">
        <v>100</v>
      </c>
      <c r="I153" s="5">
        <v>100</v>
      </c>
      <c r="J153" s="5">
        <v>100</v>
      </c>
      <c r="K153" s="5">
        <v>100</v>
      </c>
      <c r="L153" s="5">
        <v>100</v>
      </c>
      <c r="M153" s="5">
        <v>100</v>
      </c>
      <c r="N153" s="63">
        <f>SUM(B153:M153)</f>
        <v>1200</v>
      </c>
      <c r="O153" s="58">
        <v>3700</v>
      </c>
      <c r="P153" s="58">
        <v>3800</v>
      </c>
      <c r="Q153" s="7"/>
      <c r="R153" s="1"/>
    </row>
    <row r="154" spans="1:18" outlineLevel="1" x14ac:dyDescent="0.25">
      <c r="A154" s="39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61"/>
      <c r="O154" s="58"/>
      <c r="P154" s="58"/>
      <c r="Q154" s="7"/>
      <c r="R154" s="1"/>
    </row>
    <row r="155" spans="1:18" outlineLevel="1" x14ac:dyDescent="0.25">
      <c r="A155" s="37" t="s">
        <v>107</v>
      </c>
      <c r="B155" s="5">
        <f t="shared" ref="B155:M155" si="42">SUM(B149:B154)</f>
        <v>1490</v>
      </c>
      <c r="C155" s="5">
        <f t="shared" si="42"/>
        <v>1034</v>
      </c>
      <c r="D155" s="5">
        <f t="shared" si="42"/>
        <v>1147</v>
      </c>
      <c r="E155" s="5">
        <f t="shared" si="42"/>
        <v>1154</v>
      </c>
      <c r="F155" s="5">
        <f t="shared" si="42"/>
        <v>1153</v>
      </c>
      <c r="G155" s="5">
        <f t="shared" si="42"/>
        <v>1154</v>
      </c>
      <c r="H155" s="5">
        <f t="shared" si="42"/>
        <v>1153</v>
      </c>
      <c r="I155" s="5">
        <f t="shared" si="42"/>
        <v>1154</v>
      </c>
      <c r="J155" s="5">
        <f t="shared" si="42"/>
        <v>1154</v>
      </c>
      <c r="K155" s="5">
        <f t="shared" si="42"/>
        <v>1153</v>
      </c>
      <c r="L155" s="5">
        <f t="shared" si="42"/>
        <v>1154</v>
      </c>
      <c r="M155" s="5">
        <f t="shared" si="42"/>
        <v>1154</v>
      </c>
      <c r="N155" s="61">
        <f>SUM(B155:M155)</f>
        <v>14054</v>
      </c>
      <c r="O155" s="58"/>
      <c r="P155" s="58"/>
      <c r="Q155" s="7"/>
      <c r="R155" s="1"/>
    </row>
    <row r="156" spans="1:18" outlineLevel="1" x14ac:dyDescent="0.25">
      <c r="A156" s="37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61"/>
      <c r="O156" s="58"/>
      <c r="P156" s="58"/>
      <c r="Q156" s="7"/>
      <c r="R156" s="1"/>
    </row>
    <row r="157" spans="1:18" outlineLevel="1" x14ac:dyDescent="0.25">
      <c r="A157" s="37" t="s">
        <v>27</v>
      </c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61"/>
      <c r="O157" s="58"/>
      <c r="P157" s="58"/>
      <c r="Q157" s="7"/>
      <c r="R157" s="1"/>
    </row>
    <row r="158" spans="1:18" outlineLevel="1" x14ac:dyDescent="0.25">
      <c r="A158" s="37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61"/>
      <c r="O158" s="58"/>
      <c r="P158" s="58"/>
      <c r="Q158" s="7"/>
      <c r="R158" s="1"/>
    </row>
    <row r="159" spans="1:18" outlineLevel="1" x14ac:dyDescent="0.25">
      <c r="A159" s="37" t="s">
        <v>68</v>
      </c>
      <c r="B159" s="18">
        <v>2800</v>
      </c>
      <c r="C159" s="18">
        <v>2800</v>
      </c>
      <c r="D159" s="18">
        <v>2800</v>
      </c>
      <c r="E159" s="18">
        <v>2800</v>
      </c>
      <c r="F159" s="18">
        <v>2800</v>
      </c>
      <c r="G159" s="18">
        <v>2800</v>
      </c>
      <c r="H159" s="18">
        <v>2800</v>
      </c>
      <c r="I159" s="18">
        <v>2800</v>
      </c>
      <c r="J159" s="18">
        <v>2800</v>
      </c>
      <c r="K159" s="18">
        <v>2800</v>
      </c>
      <c r="L159" s="18">
        <v>2800</v>
      </c>
      <c r="M159" s="18">
        <v>2800</v>
      </c>
      <c r="N159" s="63">
        <f>SUM(B159:M159)</f>
        <v>33600</v>
      </c>
      <c r="O159" s="60">
        <v>33600</v>
      </c>
      <c r="P159" s="58">
        <v>33600</v>
      </c>
      <c r="Q159" s="7"/>
      <c r="R159" s="1"/>
    </row>
    <row r="160" spans="1:18" outlineLevel="1" x14ac:dyDescent="0.25">
      <c r="A160" s="37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61"/>
      <c r="O160" s="58"/>
      <c r="P160" s="58"/>
      <c r="Q160" s="8"/>
    </row>
    <row r="161" spans="1:17" outlineLevel="1" x14ac:dyDescent="0.25">
      <c r="A161" s="37" t="s">
        <v>30</v>
      </c>
      <c r="B161" s="5">
        <f t="shared" ref="B161:M161" si="43">SUM(B159:B160)</f>
        <v>2800</v>
      </c>
      <c r="C161" s="5">
        <f t="shared" si="43"/>
        <v>2800</v>
      </c>
      <c r="D161" s="5">
        <f t="shared" si="43"/>
        <v>2800</v>
      </c>
      <c r="E161" s="5">
        <f t="shared" si="43"/>
        <v>2800</v>
      </c>
      <c r="F161" s="5">
        <f t="shared" si="43"/>
        <v>2800</v>
      </c>
      <c r="G161" s="5">
        <f t="shared" si="43"/>
        <v>2800</v>
      </c>
      <c r="H161" s="5">
        <f t="shared" si="43"/>
        <v>2800</v>
      </c>
      <c r="I161" s="5">
        <f t="shared" si="43"/>
        <v>2800</v>
      </c>
      <c r="J161" s="5">
        <f t="shared" si="43"/>
        <v>2800</v>
      </c>
      <c r="K161" s="5">
        <f t="shared" si="43"/>
        <v>2800</v>
      </c>
      <c r="L161" s="5">
        <f t="shared" si="43"/>
        <v>2800</v>
      </c>
      <c r="M161" s="5">
        <f t="shared" si="43"/>
        <v>2800</v>
      </c>
      <c r="N161" s="61">
        <f>SUM(B161:M161)</f>
        <v>33600</v>
      </c>
      <c r="O161" s="58"/>
      <c r="P161" s="58"/>
      <c r="Q161" s="8"/>
    </row>
    <row r="162" spans="1:17" outlineLevel="1" x14ac:dyDescent="0.25">
      <c r="A162" s="37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61"/>
      <c r="O162" s="58"/>
      <c r="P162" s="58"/>
      <c r="Q162" s="8"/>
    </row>
    <row r="163" spans="1:17" outlineLevel="1" x14ac:dyDescent="0.25">
      <c r="A163" s="37" t="s">
        <v>140</v>
      </c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61"/>
      <c r="O163" s="58"/>
      <c r="P163" s="58"/>
      <c r="Q163" s="8"/>
    </row>
    <row r="164" spans="1:17" outlineLevel="1" x14ac:dyDescent="0.25">
      <c r="A164" s="37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61"/>
      <c r="O164" s="58"/>
      <c r="P164" s="58"/>
      <c r="Q164" s="8"/>
    </row>
    <row r="165" spans="1:17" outlineLevel="1" x14ac:dyDescent="0.25">
      <c r="A165" s="37" t="s">
        <v>141</v>
      </c>
      <c r="B165" s="5">
        <v>36</v>
      </c>
      <c r="C165" s="5">
        <v>21</v>
      </c>
      <c r="D165" s="5">
        <v>0</v>
      </c>
      <c r="E165" s="5">
        <v>60</v>
      </c>
      <c r="F165" s="5">
        <v>50</v>
      </c>
      <c r="G165" s="5">
        <v>50</v>
      </c>
      <c r="H165" s="5">
        <v>50</v>
      </c>
      <c r="I165" s="5">
        <v>50</v>
      </c>
      <c r="J165" s="5">
        <v>50</v>
      </c>
      <c r="K165" s="5">
        <v>50</v>
      </c>
      <c r="L165" s="5">
        <v>50</v>
      </c>
      <c r="M165" s="5">
        <v>50</v>
      </c>
      <c r="N165" s="61">
        <f>SUM(B165:M165)</f>
        <v>517</v>
      </c>
      <c r="O165" s="58">
        <v>517</v>
      </c>
      <c r="P165" s="58">
        <v>517</v>
      </c>
      <c r="Q165" s="8"/>
    </row>
    <row r="166" spans="1:17" outlineLevel="1" x14ac:dyDescent="0.25">
      <c r="A166" s="37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61"/>
      <c r="O166" s="58"/>
      <c r="P166" s="58"/>
      <c r="Q166" s="8"/>
    </row>
    <row r="167" spans="1:17" outlineLevel="1" x14ac:dyDescent="0.25">
      <c r="A167" s="37" t="s">
        <v>142</v>
      </c>
      <c r="B167" s="5">
        <f t="shared" ref="B167:M167" si="44">SUM(B165:B166)</f>
        <v>36</v>
      </c>
      <c r="C167" s="5">
        <f t="shared" si="44"/>
        <v>21</v>
      </c>
      <c r="D167" s="5">
        <f t="shared" si="44"/>
        <v>0</v>
      </c>
      <c r="E167" s="5">
        <f t="shared" si="44"/>
        <v>60</v>
      </c>
      <c r="F167" s="5">
        <f t="shared" si="44"/>
        <v>50</v>
      </c>
      <c r="G167" s="5">
        <f t="shared" si="44"/>
        <v>50</v>
      </c>
      <c r="H167" s="5">
        <f t="shared" si="44"/>
        <v>50</v>
      </c>
      <c r="I167" s="5">
        <f t="shared" si="44"/>
        <v>50</v>
      </c>
      <c r="J167" s="5">
        <f t="shared" si="44"/>
        <v>50</v>
      </c>
      <c r="K167" s="5">
        <f t="shared" si="44"/>
        <v>50</v>
      </c>
      <c r="L167" s="5">
        <f t="shared" si="44"/>
        <v>50</v>
      </c>
      <c r="M167" s="5">
        <f t="shared" si="44"/>
        <v>50</v>
      </c>
      <c r="N167" s="61">
        <f>SUM(B167:M167)</f>
        <v>517</v>
      </c>
      <c r="O167" s="58"/>
      <c r="P167" s="58"/>
      <c r="Q167" s="8"/>
    </row>
    <row r="168" spans="1:17" outlineLevel="1" x14ac:dyDescent="0.25">
      <c r="A168" s="37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61"/>
      <c r="O168" s="58"/>
      <c r="P168" s="58"/>
      <c r="Q168" s="8"/>
    </row>
    <row r="169" spans="1:17" outlineLevel="1" x14ac:dyDescent="0.25">
      <c r="A169" s="37" t="s">
        <v>31</v>
      </c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61"/>
      <c r="O169" s="58"/>
      <c r="P169" s="58"/>
      <c r="Q169" s="8"/>
    </row>
    <row r="170" spans="1:17" outlineLevel="1" x14ac:dyDescent="0.25">
      <c r="A170" s="37" t="s">
        <v>121</v>
      </c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63">
        <f>SUM(B170:M170)</f>
        <v>0</v>
      </c>
      <c r="O170" s="77"/>
      <c r="P170" s="58"/>
      <c r="Q170" s="8"/>
    </row>
    <row r="171" spans="1:17" outlineLevel="1" x14ac:dyDescent="0.25">
      <c r="A171" s="39" t="s">
        <v>69</v>
      </c>
      <c r="B171" s="5">
        <v>3300</v>
      </c>
      <c r="C171" s="5">
        <v>3300</v>
      </c>
      <c r="D171" s="5">
        <v>3300</v>
      </c>
      <c r="E171" s="5">
        <v>3300</v>
      </c>
      <c r="F171" s="5">
        <v>3300</v>
      </c>
      <c r="G171" s="5">
        <v>3300</v>
      </c>
      <c r="H171" s="5">
        <v>3300</v>
      </c>
      <c r="I171" s="5">
        <v>3300</v>
      </c>
      <c r="J171" s="5">
        <v>3300</v>
      </c>
      <c r="K171" s="5">
        <v>3300</v>
      </c>
      <c r="L171" s="5">
        <v>3300</v>
      </c>
      <c r="M171" s="5">
        <v>3300</v>
      </c>
      <c r="N171" s="63">
        <f>SUM(B171:M171)</f>
        <v>39600</v>
      </c>
      <c r="O171" s="64">
        <f>N171</f>
        <v>39600</v>
      </c>
      <c r="P171" s="64">
        <f>O171*P9/O9</f>
        <v>43842.857142857145</v>
      </c>
      <c r="Q171" s="8"/>
    </row>
    <row r="172" spans="1:17" outlineLevel="1" x14ac:dyDescent="0.25">
      <c r="A172" s="39" t="s">
        <v>70</v>
      </c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63">
        <f>SUM(B172:M172)</f>
        <v>0</v>
      </c>
      <c r="O172" s="64"/>
      <c r="P172" s="64"/>
      <c r="Q172" s="8"/>
    </row>
    <row r="173" spans="1:17" outlineLevel="1" x14ac:dyDescent="0.25">
      <c r="A173" s="39" t="s">
        <v>71</v>
      </c>
      <c r="B173" s="5">
        <f t="shared" ref="B173:C173" si="45">B23*0.02</f>
        <v>1899.0471500000001</v>
      </c>
      <c r="C173" s="5">
        <f t="shared" si="45"/>
        <v>1899.0471500000001</v>
      </c>
      <c r="D173" s="5">
        <f>D23*0.02</f>
        <v>1899.0471500000001</v>
      </c>
      <c r="E173" s="5">
        <f t="shared" ref="E173:F173" si="46">E23*0.02</f>
        <v>1899.0471500000001</v>
      </c>
      <c r="F173" s="5">
        <f t="shared" si="46"/>
        <v>1899.0471500000001</v>
      </c>
      <c r="G173" s="5">
        <f>G23*0.02</f>
        <v>1899.0471500000001</v>
      </c>
      <c r="H173" s="5">
        <f t="shared" ref="H173:M173" si="47">H23*0.02</f>
        <v>1899.0471500000001</v>
      </c>
      <c r="I173" s="5">
        <f t="shared" si="47"/>
        <v>1899.0471500000001</v>
      </c>
      <c r="J173" s="5">
        <f t="shared" si="47"/>
        <v>1899.0471500000001</v>
      </c>
      <c r="K173" s="5">
        <f t="shared" si="47"/>
        <v>1899.0471500000001</v>
      </c>
      <c r="L173" s="5">
        <f t="shared" si="47"/>
        <v>1899.0471500000001</v>
      </c>
      <c r="M173" s="5">
        <f t="shared" si="47"/>
        <v>1899.0471500000001</v>
      </c>
      <c r="N173" s="63">
        <f>SUM(B173:M173)</f>
        <v>22788.565799999997</v>
      </c>
      <c r="O173" s="61">
        <f>O23*0.02</f>
        <v>25277.778372000008</v>
      </c>
      <c r="P173" s="61">
        <f>P23*0.02</f>
        <v>28825.69512207001</v>
      </c>
      <c r="Q173" s="8"/>
    </row>
    <row r="174" spans="1:17" outlineLevel="1" x14ac:dyDescent="0.25">
      <c r="A174" s="52" t="s">
        <v>160</v>
      </c>
      <c r="B174" s="25">
        <v>225</v>
      </c>
      <c r="C174" s="25">
        <v>0</v>
      </c>
      <c r="D174" s="25">
        <v>0</v>
      </c>
      <c r="E174" s="25">
        <v>0</v>
      </c>
      <c r="F174" s="25">
        <v>0</v>
      </c>
      <c r="G174" s="25">
        <v>225</v>
      </c>
      <c r="H174" s="25">
        <v>0</v>
      </c>
      <c r="I174" s="25">
        <v>0</v>
      </c>
      <c r="J174" s="25">
        <v>0</v>
      </c>
      <c r="K174" s="25">
        <v>0</v>
      </c>
      <c r="L174" s="25">
        <v>0</v>
      </c>
      <c r="M174" s="25">
        <v>0</v>
      </c>
      <c r="N174" s="63">
        <f>SUM(B174:M174)</f>
        <v>450</v>
      </c>
      <c r="O174" s="64">
        <v>500</v>
      </c>
      <c r="P174" s="64">
        <v>500</v>
      </c>
      <c r="Q174" s="8"/>
    </row>
    <row r="175" spans="1:17" outlineLevel="1" x14ac:dyDescent="0.25">
      <c r="A175" s="39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61"/>
      <c r="O175" s="58"/>
      <c r="P175" s="58"/>
      <c r="Q175" s="8"/>
    </row>
    <row r="176" spans="1:17" outlineLevel="1" x14ac:dyDescent="0.25">
      <c r="A176" s="39" t="s">
        <v>108</v>
      </c>
      <c r="B176" s="5">
        <f>SUM(B171:B175)</f>
        <v>5424.0471500000003</v>
      </c>
      <c r="C176" s="5">
        <f>SUM(C171:C175)</f>
        <v>5199.0471500000003</v>
      </c>
      <c r="D176" s="5">
        <f>D167+D171+D173</f>
        <v>5199.0471500000003</v>
      </c>
      <c r="E176" s="5">
        <f>SUM(E171:E175)</f>
        <v>5199.0471500000003</v>
      </c>
      <c r="F176" s="5">
        <f>SUM(F171:F175)</f>
        <v>5199.0471500000003</v>
      </c>
      <c r="G176" s="5">
        <f>SUM(G171:G175)</f>
        <v>5424.0471500000003</v>
      </c>
      <c r="H176" s="5">
        <f>H167+H171+H173</f>
        <v>5249.0471500000003</v>
      </c>
      <c r="I176" s="5">
        <f>SUM(I171:I175)</f>
        <v>5199.0471500000003</v>
      </c>
      <c r="J176" s="5">
        <f>SUM(J171:J175)</f>
        <v>5199.0471500000003</v>
      </c>
      <c r="K176" s="5">
        <f>SUM(K171:K175)</f>
        <v>5199.0471500000003</v>
      </c>
      <c r="L176" s="5">
        <f>SUM(L171:L175)</f>
        <v>5199.0471500000003</v>
      </c>
      <c r="M176" s="5">
        <f>SUM(M171:M175)</f>
        <v>5199.0471500000003</v>
      </c>
      <c r="N176" s="61">
        <f>SUM(B176:M176)</f>
        <v>62888.565799999989</v>
      </c>
      <c r="O176" s="58"/>
      <c r="P176" s="58"/>
      <c r="Q176" s="8"/>
    </row>
    <row r="177" spans="1:17" outlineLevel="1" x14ac:dyDescent="0.25">
      <c r="A177" s="37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61"/>
      <c r="O177" s="58"/>
      <c r="P177" s="58"/>
      <c r="Q177" s="8"/>
    </row>
    <row r="178" spans="1:17" x14ac:dyDescent="0.25">
      <c r="A178" s="37" t="s">
        <v>181</v>
      </c>
      <c r="B178" s="40">
        <f t="shared" ref="B178:M178" si="48">B145+B155+B161+B167+B176</f>
        <v>10500.04715</v>
      </c>
      <c r="C178" s="40">
        <f t="shared" si="48"/>
        <v>11504.04715</v>
      </c>
      <c r="D178" s="40">
        <f t="shared" si="48"/>
        <v>9896.0471500000003</v>
      </c>
      <c r="E178" s="40">
        <f t="shared" si="48"/>
        <v>9963.0471500000003</v>
      </c>
      <c r="F178" s="40">
        <f t="shared" si="48"/>
        <v>11652.04715</v>
      </c>
      <c r="G178" s="40">
        <f t="shared" si="48"/>
        <v>10178.04715</v>
      </c>
      <c r="H178" s="40">
        <f t="shared" si="48"/>
        <v>10002.04715</v>
      </c>
      <c r="I178" s="40">
        <f t="shared" si="48"/>
        <v>11653.04715</v>
      </c>
      <c r="J178" s="40">
        <f t="shared" si="48"/>
        <v>9953.0471500000003</v>
      </c>
      <c r="K178" s="40">
        <f t="shared" si="48"/>
        <v>9952.0471500000003</v>
      </c>
      <c r="L178" s="40">
        <f t="shared" si="48"/>
        <v>11605.04715</v>
      </c>
      <c r="M178" s="40">
        <f t="shared" si="48"/>
        <v>9953.0471500000003</v>
      </c>
      <c r="N178" s="78">
        <f>SUM(B178:M178)</f>
        <v>126811.5658</v>
      </c>
      <c r="O178" s="78">
        <f>SUM(O139:O176)</f>
        <v>133190.778372</v>
      </c>
      <c r="P178" s="78">
        <f>SUM(P139:P176)</f>
        <v>141585.55226492716</v>
      </c>
      <c r="Q178" s="8"/>
    </row>
    <row r="179" spans="1:17" outlineLevel="1" x14ac:dyDescent="0.25">
      <c r="A179" s="41" t="s">
        <v>28</v>
      </c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79"/>
      <c r="O179" s="58"/>
      <c r="P179" s="58"/>
      <c r="Q179" s="8"/>
    </row>
    <row r="180" spans="1:17" outlineLevel="1" x14ac:dyDescent="0.25">
      <c r="A180" s="41" t="s">
        <v>72</v>
      </c>
      <c r="B180" s="18">
        <v>0</v>
      </c>
      <c r="C180" s="18">
        <v>337</v>
      </c>
      <c r="D180" s="18">
        <v>135</v>
      </c>
      <c r="E180" s="18">
        <v>200</v>
      </c>
      <c r="F180" s="18">
        <v>200</v>
      </c>
      <c r="G180" s="18">
        <v>200</v>
      </c>
      <c r="H180" s="18">
        <v>200</v>
      </c>
      <c r="I180" s="18">
        <v>200</v>
      </c>
      <c r="J180" s="18">
        <v>200</v>
      </c>
      <c r="K180" s="18">
        <v>200</v>
      </c>
      <c r="L180" s="18">
        <v>200</v>
      </c>
      <c r="M180" s="18">
        <v>200</v>
      </c>
      <c r="N180" s="63">
        <f t="shared" ref="N180:N189" si="49">SUM(B180:M180)</f>
        <v>2272</v>
      </c>
      <c r="O180" s="60">
        <v>2300</v>
      </c>
      <c r="P180" s="58">
        <v>2700</v>
      </c>
      <c r="Q180" s="8"/>
    </row>
    <row r="181" spans="1:17" outlineLevel="1" x14ac:dyDescent="0.25">
      <c r="A181" s="41" t="s">
        <v>73</v>
      </c>
      <c r="B181" s="18">
        <v>0</v>
      </c>
      <c r="C181" s="18">
        <v>1075</v>
      </c>
      <c r="D181" s="18">
        <v>934</v>
      </c>
      <c r="E181" s="18">
        <v>250</v>
      </c>
      <c r="F181" s="18">
        <v>250</v>
      </c>
      <c r="G181" s="18">
        <v>250</v>
      </c>
      <c r="H181" s="18">
        <v>250</v>
      </c>
      <c r="I181" s="18">
        <v>250</v>
      </c>
      <c r="J181" s="18">
        <v>250</v>
      </c>
      <c r="K181" s="18">
        <v>250</v>
      </c>
      <c r="L181" s="18">
        <v>250</v>
      </c>
      <c r="M181" s="18">
        <v>1550</v>
      </c>
      <c r="N181" s="63">
        <f t="shared" si="49"/>
        <v>5559</v>
      </c>
      <c r="O181" s="58">
        <v>6000</v>
      </c>
      <c r="P181" s="58">
        <v>6000</v>
      </c>
      <c r="Q181" s="8"/>
    </row>
    <row r="182" spans="1:17" outlineLevel="1" x14ac:dyDescent="0.25">
      <c r="A182" s="41" t="s">
        <v>192</v>
      </c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63">
        <f t="shared" si="49"/>
        <v>0</v>
      </c>
      <c r="O182" s="58"/>
      <c r="P182" s="58"/>
      <c r="Q182" s="8"/>
    </row>
    <row r="183" spans="1:17" outlineLevel="1" x14ac:dyDescent="0.25">
      <c r="A183" s="56" t="s">
        <v>173</v>
      </c>
      <c r="B183" s="18">
        <v>200</v>
      </c>
      <c r="C183" s="18">
        <v>200</v>
      </c>
      <c r="D183" s="18">
        <v>200</v>
      </c>
      <c r="E183" s="18">
        <v>200</v>
      </c>
      <c r="F183" s="18">
        <v>200</v>
      </c>
      <c r="G183" s="18">
        <v>200</v>
      </c>
      <c r="H183" s="18">
        <v>200</v>
      </c>
      <c r="I183" s="18">
        <v>200</v>
      </c>
      <c r="J183" s="18">
        <v>200</v>
      </c>
      <c r="K183" s="18">
        <v>200</v>
      </c>
      <c r="L183" s="18">
        <v>200</v>
      </c>
      <c r="M183" s="18">
        <v>200</v>
      </c>
      <c r="N183" s="63">
        <f t="shared" si="49"/>
        <v>2400</v>
      </c>
      <c r="O183" s="58">
        <v>4800</v>
      </c>
      <c r="P183" s="58">
        <v>4800</v>
      </c>
      <c r="Q183" s="8"/>
    </row>
    <row r="184" spans="1:17" outlineLevel="1" x14ac:dyDescent="0.25">
      <c r="A184" s="41" t="s">
        <v>137</v>
      </c>
      <c r="B184" s="5"/>
      <c r="C184" s="5">
        <v>0</v>
      </c>
      <c r="D184" s="5">
        <v>0</v>
      </c>
      <c r="E184" s="5">
        <v>0</v>
      </c>
      <c r="F184" s="5">
        <v>0</v>
      </c>
      <c r="G184" s="5">
        <v>0</v>
      </c>
      <c r="H184" s="5">
        <v>0</v>
      </c>
      <c r="I184" s="5">
        <v>0</v>
      </c>
      <c r="J184" s="5">
        <v>0</v>
      </c>
      <c r="K184" s="5">
        <v>0</v>
      </c>
      <c r="L184" s="5">
        <v>0</v>
      </c>
      <c r="M184" s="5">
        <v>0</v>
      </c>
      <c r="N184" s="63">
        <f t="shared" si="49"/>
        <v>0</v>
      </c>
      <c r="O184" s="58"/>
      <c r="P184" s="58"/>
      <c r="Q184" s="8"/>
    </row>
    <row r="185" spans="1:17" outlineLevel="1" x14ac:dyDescent="0.25">
      <c r="A185" s="41" t="s">
        <v>74</v>
      </c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63">
        <f t="shared" si="49"/>
        <v>0</v>
      </c>
      <c r="O185" s="64"/>
      <c r="P185" s="58"/>
      <c r="Q185" s="8"/>
    </row>
    <row r="186" spans="1:17" outlineLevel="1" x14ac:dyDescent="0.25">
      <c r="A186" s="41" t="s">
        <v>159</v>
      </c>
      <c r="B186" s="18">
        <v>0</v>
      </c>
      <c r="C186" s="18">
        <v>0</v>
      </c>
      <c r="D186" s="18">
        <v>0</v>
      </c>
      <c r="E186" s="18">
        <v>0</v>
      </c>
      <c r="F186" s="18">
        <v>0</v>
      </c>
      <c r="G186" s="18">
        <v>0</v>
      </c>
      <c r="H186" s="18">
        <v>0</v>
      </c>
      <c r="I186" s="18">
        <v>0</v>
      </c>
      <c r="J186" s="18">
        <v>0</v>
      </c>
      <c r="K186" s="18">
        <v>0</v>
      </c>
      <c r="L186" s="18">
        <v>0</v>
      </c>
      <c r="M186" s="18">
        <v>0</v>
      </c>
      <c r="N186" s="63">
        <f t="shared" si="49"/>
        <v>0</v>
      </c>
      <c r="O186" s="64">
        <v>0</v>
      </c>
      <c r="P186" s="58">
        <v>0</v>
      </c>
      <c r="Q186" s="8"/>
    </row>
    <row r="187" spans="1:17" outlineLevel="1" x14ac:dyDescent="0.25">
      <c r="A187" s="43" t="s">
        <v>75</v>
      </c>
      <c r="B187" s="5">
        <v>0</v>
      </c>
      <c r="C187" s="5">
        <v>0</v>
      </c>
      <c r="D187" s="5">
        <v>0</v>
      </c>
      <c r="E187" s="5">
        <v>0</v>
      </c>
      <c r="F187" s="5">
        <v>0</v>
      </c>
      <c r="G187" s="5">
        <v>0</v>
      </c>
      <c r="H187" s="5">
        <v>0</v>
      </c>
      <c r="I187" s="5">
        <v>0</v>
      </c>
      <c r="J187" s="5">
        <v>0</v>
      </c>
      <c r="K187" s="5">
        <v>0</v>
      </c>
      <c r="L187" s="5">
        <v>0</v>
      </c>
      <c r="M187" s="5">
        <v>0</v>
      </c>
      <c r="N187" s="63">
        <f t="shared" si="49"/>
        <v>0</v>
      </c>
      <c r="O187" s="64"/>
      <c r="P187" s="58"/>
      <c r="Q187" s="8"/>
    </row>
    <row r="188" spans="1:17" outlineLevel="1" x14ac:dyDescent="0.25">
      <c r="A188" s="43" t="s">
        <v>190</v>
      </c>
      <c r="B188" s="5"/>
      <c r="C188" s="5"/>
      <c r="D188" s="5">
        <v>272</v>
      </c>
      <c r="E188" s="5"/>
      <c r="F188" s="5">
        <v>300</v>
      </c>
      <c r="G188" s="5">
        <v>300</v>
      </c>
      <c r="H188" s="5">
        <v>300</v>
      </c>
      <c r="I188" s="5">
        <v>300</v>
      </c>
      <c r="J188" s="5">
        <v>300</v>
      </c>
      <c r="K188" s="5">
        <v>400</v>
      </c>
      <c r="L188" s="5">
        <v>400</v>
      </c>
      <c r="M188" s="5">
        <v>400</v>
      </c>
      <c r="N188" s="63">
        <f t="shared" si="49"/>
        <v>2972</v>
      </c>
      <c r="O188" s="64">
        <v>2000</v>
      </c>
      <c r="P188" s="58">
        <v>2000</v>
      </c>
      <c r="Q188" s="8"/>
    </row>
    <row r="189" spans="1:17" outlineLevel="1" x14ac:dyDescent="0.25">
      <c r="A189" s="43" t="s">
        <v>191</v>
      </c>
      <c r="B189" s="5">
        <v>0</v>
      </c>
      <c r="C189" s="5"/>
      <c r="D189" s="5">
        <v>660</v>
      </c>
      <c r="E189" s="5">
        <v>200</v>
      </c>
      <c r="F189" s="5">
        <v>200</v>
      </c>
      <c r="G189" s="5">
        <v>300</v>
      </c>
      <c r="H189" s="5">
        <v>300</v>
      </c>
      <c r="I189" s="5">
        <v>300</v>
      </c>
      <c r="J189" s="5">
        <v>300</v>
      </c>
      <c r="K189" s="5">
        <v>300</v>
      </c>
      <c r="L189" s="5">
        <v>300</v>
      </c>
      <c r="M189" s="5">
        <v>300</v>
      </c>
      <c r="N189" s="63">
        <f t="shared" si="49"/>
        <v>3160</v>
      </c>
      <c r="O189" s="64">
        <v>4000</v>
      </c>
      <c r="P189" s="58">
        <v>4000</v>
      </c>
      <c r="Q189" s="8"/>
    </row>
    <row r="190" spans="1:17" outlineLevel="1" x14ac:dyDescent="0.25">
      <c r="A190" s="41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61"/>
      <c r="O190" s="58"/>
      <c r="P190" s="58"/>
      <c r="Q190" s="8"/>
    </row>
    <row r="191" spans="1:17" outlineLevel="1" x14ac:dyDescent="0.25">
      <c r="A191" s="43" t="s">
        <v>29</v>
      </c>
      <c r="B191" s="5">
        <f t="shared" ref="B191:M191" si="50">SUM(B180:B190)</f>
        <v>200</v>
      </c>
      <c r="C191" s="5">
        <f t="shared" si="50"/>
        <v>1612</v>
      </c>
      <c r="D191" s="5">
        <f t="shared" si="50"/>
        <v>2201</v>
      </c>
      <c r="E191" s="5">
        <f t="shared" si="50"/>
        <v>850</v>
      </c>
      <c r="F191" s="5">
        <f t="shared" si="50"/>
        <v>1150</v>
      </c>
      <c r="G191" s="5">
        <f t="shared" si="50"/>
        <v>1250</v>
      </c>
      <c r="H191" s="5">
        <f t="shared" si="50"/>
        <v>1250</v>
      </c>
      <c r="I191" s="5">
        <f t="shared" si="50"/>
        <v>1250</v>
      </c>
      <c r="J191" s="5">
        <f t="shared" si="50"/>
        <v>1250</v>
      </c>
      <c r="K191" s="5">
        <f t="shared" si="50"/>
        <v>1350</v>
      </c>
      <c r="L191" s="5">
        <f t="shared" si="50"/>
        <v>1350</v>
      </c>
      <c r="M191" s="5">
        <f t="shared" si="50"/>
        <v>2650</v>
      </c>
      <c r="N191" s="61">
        <f>SUM(B191:M191)</f>
        <v>16363</v>
      </c>
      <c r="O191" s="58"/>
      <c r="P191" s="58"/>
      <c r="Q191" s="8"/>
    </row>
    <row r="192" spans="1:17" outlineLevel="1" x14ac:dyDescent="0.25">
      <c r="A192" s="43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61"/>
      <c r="O192" s="58"/>
      <c r="P192" s="58"/>
      <c r="Q192" s="8"/>
    </row>
    <row r="193" spans="1:18" outlineLevel="1" x14ac:dyDescent="0.25">
      <c r="A193" s="43" t="s">
        <v>132</v>
      </c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63">
        <f>SUM(B193:M193)</f>
        <v>0</v>
      </c>
      <c r="O193" s="58"/>
      <c r="P193" s="58"/>
      <c r="Q193" s="8"/>
    </row>
    <row r="194" spans="1:18" outlineLevel="1" x14ac:dyDescent="0.25">
      <c r="A194" s="41" t="s">
        <v>193</v>
      </c>
      <c r="B194" s="5"/>
      <c r="C194" s="5"/>
      <c r="D194" s="5">
        <v>0</v>
      </c>
      <c r="E194" s="5"/>
      <c r="F194" s="5"/>
      <c r="G194" s="5"/>
      <c r="H194" s="5"/>
      <c r="I194" s="5"/>
      <c r="J194" s="5"/>
      <c r="K194" s="5"/>
      <c r="L194" s="5"/>
      <c r="M194" s="5"/>
      <c r="N194" s="63">
        <f t="shared" ref="N194:N209" si="51">SUM(B194:M194)</f>
        <v>0</v>
      </c>
      <c r="O194" s="58">
        <v>9314.2000000000007</v>
      </c>
      <c r="P194" s="58">
        <v>9314.2000000000007</v>
      </c>
      <c r="Q194" s="8"/>
    </row>
    <row r="195" spans="1:18" outlineLevel="1" x14ac:dyDescent="0.25">
      <c r="A195" s="43" t="s">
        <v>131</v>
      </c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63">
        <f t="shared" si="51"/>
        <v>0</v>
      </c>
      <c r="P195" s="58"/>
      <c r="Q195" s="8"/>
    </row>
    <row r="196" spans="1:18" outlineLevel="1" x14ac:dyDescent="0.25">
      <c r="A196" s="43" t="s">
        <v>150</v>
      </c>
      <c r="B196" s="18"/>
      <c r="C196" s="18">
        <v>0</v>
      </c>
      <c r="D196" s="18">
        <v>0</v>
      </c>
      <c r="E196" s="18">
        <v>0</v>
      </c>
      <c r="F196" s="18">
        <v>0</v>
      </c>
      <c r="G196" s="18">
        <v>0</v>
      </c>
      <c r="H196" s="18">
        <v>0</v>
      </c>
      <c r="I196" s="18">
        <v>0</v>
      </c>
      <c r="J196" s="18">
        <v>0</v>
      </c>
      <c r="K196" s="18">
        <v>0</v>
      </c>
      <c r="L196" s="18">
        <v>0</v>
      </c>
      <c r="M196" s="18">
        <v>0</v>
      </c>
      <c r="N196" s="63">
        <f t="shared" si="51"/>
        <v>0</v>
      </c>
      <c r="P196" s="58"/>
      <c r="Q196" s="8"/>
    </row>
    <row r="197" spans="1:18" outlineLevel="1" x14ac:dyDescent="0.25">
      <c r="A197" s="43" t="s">
        <v>151</v>
      </c>
      <c r="B197" s="18">
        <v>350</v>
      </c>
      <c r="C197" s="18">
        <v>350</v>
      </c>
      <c r="D197" s="18">
        <v>350</v>
      </c>
      <c r="E197" s="18">
        <v>350</v>
      </c>
      <c r="F197" s="18">
        <v>350</v>
      </c>
      <c r="G197" s="18">
        <v>350</v>
      </c>
      <c r="H197" s="18">
        <v>350</v>
      </c>
      <c r="I197" s="18">
        <v>350</v>
      </c>
      <c r="J197" s="18">
        <v>350</v>
      </c>
      <c r="K197" s="18">
        <v>350</v>
      </c>
      <c r="L197" s="18">
        <v>350</v>
      </c>
      <c r="M197" s="18">
        <v>350</v>
      </c>
      <c r="N197" s="63">
        <f>SUM(B197:M197)</f>
        <v>4200</v>
      </c>
      <c r="O197" s="60">
        <v>5000</v>
      </c>
      <c r="P197" s="58">
        <v>6000</v>
      </c>
      <c r="Q197" s="8"/>
    </row>
    <row r="198" spans="1:18" outlineLevel="1" x14ac:dyDescent="0.25">
      <c r="A198" s="43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63">
        <f t="shared" si="51"/>
        <v>0</v>
      </c>
      <c r="P198" s="58"/>
      <c r="Q198" s="8"/>
    </row>
    <row r="199" spans="1:18" outlineLevel="1" x14ac:dyDescent="0.25">
      <c r="A199" s="43" t="s">
        <v>32</v>
      </c>
      <c r="B199" s="5">
        <f>SUM(B195:B198)</f>
        <v>350</v>
      </c>
      <c r="C199" s="5">
        <f t="shared" ref="C199:M199" si="52">SUM(C195:C198)</f>
        <v>350</v>
      </c>
      <c r="D199" s="5">
        <f t="shared" si="52"/>
        <v>350</v>
      </c>
      <c r="E199" s="5">
        <f t="shared" si="52"/>
        <v>350</v>
      </c>
      <c r="F199" s="5">
        <f t="shared" si="52"/>
        <v>350</v>
      </c>
      <c r="G199" s="5">
        <f t="shared" si="52"/>
        <v>350</v>
      </c>
      <c r="H199" s="5">
        <f t="shared" si="52"/>
        <v>350</v>
      </c>
      <c r="I199" s="5">
        <f t="shared" si="52"/>
        <v>350</v>
      </c>
      <c r="J199" s="5">
        <f t="shared" si="52"/>
        <v>350</v>
      </c>
      <c r="K199" s="5">
        <f t="shared" si="52"/>
        <v>350</v>
      </c>
      <c r="L199" s="5">
        <f t="shared" si="52"/>
        <v>350</v>
      </c>
      <c r="M199" s="5">
        <f t="shared" si="52"/>
        <v>350</v>
      </c>
      <c r="N199" s="63">
        <f t="shared" si="51"/>
        <v>4200</v>
      </c>
      <c r="O199" s="58"/>
      <c r="P199" s="58"/>
      <c r="Q199" s="8"/>
    </row>
    <row r="200" spans="1:18" outlineLevel="1" x14ac:dyDescent="0.25">
      <c r="A200" s="43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63">
        <f t="shared" si="51"/>
        <v>0</v>
      </c>
      <c r="O200" s="58"/>
      <c r="P200" s="58"/>
      <c r="Q200" s="8"/>
    </row>
    <row r="201" spans="1:18" outlineLevel="1" x14ac:dyDescent="0.25">
      <c r="A201" s="43" t="s">
        <v>129</v>
      </c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63">
        <f t="shared" si="51"/>
        <v>0</v>
      </c>
      <c r="O201" s="58"/>
      <c r="P201" s="58"/>
      <c r="Q201" s="8"/>
    </row>
    <row r="202" spans="1:18" outlineLevel="1" x14ac:dyDescent="0.25">
      <c r="A202" s="43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63">
        <f t="shared" si="51"/>
        <v>0</v>
      </c>
      <c r="O202" s="58"/>
      <c r="P202" s="58"/>
      <c r="Q202" s="8"/>
    </row>
    <row r="203" spans="1:18" outlineLevel="1" x14ac:dyDescent="0.25">
      <c r="A203" s="43" t="s">
        <v>76</v>
      </c>
      <c r="B203" s="18">
        <v>2173</v>
      </c>
      <c r="C203" s="18">
        <v>1741.2</v>
      </c>
      <c r="D203" s="18">
        <v>300</v>
      </c>
      <c r="E203" s="18">
        <v>1800</v>
      </c>
      <c r="F203" s="18">
        <v>300</v>
      </c>
      <c r="G203" s="18">
        <v>300</v>
      </c>
      <c r="H203" s="18">
        <v>4800</v>
      </c>
      <c r="I203" s="18">
        <v>300</v>
      </c>
      <c r="J203" s="18">
        <v>300</v>
      </c>
      <c r="K203" s="18">
        <v>300</v>
      </c>
      <c r="L203" s="18">
        <v>300</v>
      </c>
      <c r="M203" s="18">
        <v>300</v>
      </c>
      <c r="N203" s="63">
        <f t="shared" si="51"/>
        <v>12914.2</v>
      </c>
      <c r="O203" s="58">
        <v>4000</v>
      </c>
      <c r="P203" s="58">
        <v>4000</v>
      </c>
      <c r="Q203" s="8"/>
    </row>
    <row r="204" spans="1:18" outlineLevel="1" x14ac:dyDescent="0.25">
      <c r="A204" s="43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63">
        <f t="shared" si="51"/>
        <v>0</v>
      </c>
      <c r="O204" s="58"/>
      <c r="P204" s="58"/>
      <c r="Q204" s="8"/>
    </row>
    <row r="205" spans="1:18" outlineLevel="1" x14ac:dyDescent="0.25">
      <c r="A205" s="43" t="s">
        <v>130</v>
      </c>
      <c r="B205" s="5">
        <f t="shared" ref="B205:M205" si="53">SUM(B203:B204)</f>
        <v>2173</v>
      </c>
      <c r="C205" s="5">
        <f t="shared" si="53"/>
        <v>1741.2</v>
      </c>
      <c r="D205" s="5">
        <f t="shared" si="53"/>
        <v>300</v>
      </c>
      <c r="E205" s="5">
        <f t="shared" si="53"/>
        <v>1800</v>
      </c>
      <c r="F205" s="5">
        <f t="shared" si="53"/>
        <v>300</v>
      </c>
      <c r="G205" s="5">
        <f t="shared" si="53"/>
        <v>300</v>
      </c>
      <c r="H205" s="5">
        <f t="shared" si="53"/>
        <v>4800</v>
      </c>
      <c r="I205" s="5">
        <f t="shared" si="53"/>
        <v>300</v>
      </c>
      <c r="J205" s="5">
        <f t="shared" si="53"/>
        <v>300</v>
      </c>
      <c r="K205" s="5">
        <f t="shared" si="53"/>
        <v>300</v>
      </c>
      <c r="L205" s="5">
        <f t="shared" si="53"/>
        <v>300</v>
      </c>
      <c r="M205" s="5">
        <f t="shared" si="53"/>
        <v>300</v>
      </c>
      <c r="N205" s="63">
        <f t="shared" si="51"/>
        <v>12914.2</v>
      </c>
      <c r="O205" s="58"/>
      <c r="P205" s="58"/>
      <c r="Q205" s="8"/>
    </row>
    <row r="206" spans="1:18" outlineLevel="1" x14ac:dyDescent="0.25">
      <c r="A206" s="43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63">
        <f t="shared" si="51"/>
        <v>0</v>
      </c>
      <c r="O206" s="58"/>
      <c r="P206" s="58"/>
      <c r="Q206" s="8"/>
    </row>
    <row r="207" spans="1:18" outlineLevel="1" x14ac:dyDescent="0.25">
      <c r="A207" s="43" t="s">
        <v>143</v>
      </c>
      <c r="B207" s="5">
        <v>250</v>
      </c>
      <c r="C207" s="5">
        <v>250</v>
      </c>
      <c r="D207" s="5">
        <v>250</v>
      </c>
      <c r="E207" s="5">
        <v>250</v>
      </c>
      <c r="F207" s="5">
        <v>250</v>
      </c>
      <c r="G207" s="5">
        <v>250</v>
      </c>
      <c r="H207" s="5">
        <v>250</v>
      </c>
      <c r="I207" s="5">
        <v>250</v>
      </c>
      <c r="J207" s="5">
        <v>250</v>
      </c>
      <c r="K207" s="5">
        <v>250</v>
      </c>
      <c r="L207" s="5">
        <v>250</v>
      </c>
      <c r="M207" s="5">
        <v>8250</v>
      </c>
      <c r="N207" s="63">
        <f t="shared" si="51"/>
        <v>11000</v>
      </c>
      <c r="O207" s="60">
        <v>6108</v>
      </c>
      <c r="P207" s="58">
        <v>6108</v>
      </c>
      <c r="Q207" s="8"/>
      <c r="R207" s="60"/>
    </row>
    <row r="208" spans="1:18" outlineLevel="1" x14ac:dyDescent="0.25">
      <c r="A208" s="43" t="s">
        <v>195</v>
      </c>
      <c r="B208" s="5">
        <v>500</v>
      </c>
      <c r="C208" s="5">
        <v>500</v>
      </c>
      <c r="D208" s="5">
        <v>500</v>
      </c>
      <c r="E208" s="5">
        <v>500</v>
      </c>
      <c r="F208" s="5">
        <v>500</v>
      </c>
      <c r="G208" s="5">
        <v>500</v>
      </c>
      <c r="H208" s="5">
        <v>500</v>
      </c>
      <c r="I208" s="5">
        <v>500</v>
      </c>
      <c r="J208" s="5">
        <v>500</v>
      </c>
      <c r="K208" s="5">
        <v>500</v>
      </c>
      <c r="L208" s="5">
        <v>500</v>
      </c>
      <c r="M208" s="5">
        <v>500</v>
      </c>
      <c r="N208" s="63">
        <f t="shared" si="51"/>
        <v>6000</v>
      </c>
      <c r="O208" s="60">
        <v>6000</v>
      </c>
      <c r="P208" s="58">
        <v>6000</v>
      </c>
      <c r="Q208" s="8"/>
      <c r="R208" s="60"/>
    </row>
    <row r="209" spans="1:18" outlineLevel="1" x14ac:dyDescent="0.25">
      <c r="A209" s="43" t="s">
        <v>194</v>
      </c>
      <c r="B209" s="5"/>
      <c r="C209" s="5">
        <v>0</v>
      </c>
      <c r="D209" s="5"/>
      <c r="E209" s="5">
        <v>0</v>
      </c>
      <c r="F209" s="5">
        <v>0</v>
      </c>
      <c r="G209" s="5">
        <v>0</v>
      </c>
      <c r="H209" s="5">
        <v>0</v>
      </c>
      <c r="I209" s="5">
        <v>0</v>
      </c>
      <c r="J209" s="5">
        <v>0</v>
      </c>
      <c r="K209" s="5">
        <v>0</v>
      </c>
      <c r="L209" s="5">
        <v>0</v>
      </c>
      <c r="M209" s="5">
        <v>0</v>
      </c>
      <c r="N209" s="63">
        <f t="shared" si="51"/>
        <v>0</v>
      </c>
      <c r="O209" s="60">
        <v>0</v>
      </c>
      <c r="P209" s="58">
        <v>0</v>
      </c>
      <c r="Q209" s="8"/>
      <c r="R209" s="60" t="s">
        <v>174</v>
      </c>
    </row>
    <row r="210" spans="1:18" outlineLevel="1" x14ac:dyDescent="0.25">
      <c r="A210" s="43" t="s">
        <v>122</v>
      </c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63">
        <f>SUM(B210:M210)</f>
        <v>0</v>
      </c>
      <c r="O210" s="60">
        <v>6000</v>
      </c>
      <c r="P210" s="58">
        <v>6000</v>
      </c>
      <c r="Q210" s="8"/>
    </row>
    <row r="211" spans="1:18" outlineLevel="1" x14ac:dyDescent="0.25">
      <c r="A211" s="41" t="s">
        <v>197</v>
      </c>
      <c r="B211" s="5">
        <v>0</v>
      </c>
      <c r="C211" s="5">
        <v>0</v>
      </c>
      <c r="D211" s="5">
        <v>0</v>
      </c>
      <c r="E211" s="5">
        <v>0</v>
      </c>
      <c r="F211" s="5">
        <v>0</v>
      </c>
      <c r="G211" s="5">
        <v>0</v>
      </c>
      <c r="H211" s="5">
        <v>0</v>
      </c>
      <c r="I211" s="5"/>
      <c r="J211" s="5">
        <v>0</v>
      </c>
      <c r="K211" s="5">
        <v>0</v>
      </c>
      <c r="L211" s="5">
        <v>0</v>
      </c>
      <c r="M211" s="5">
        <v>0</v>
      </c>
      <c r="N211" s="63">
        <f>SUM(B211:M211)</f>
        <v>0</v>
      </c>
      <c r="P211" s="58"/>
      <c r="Q211" s="8"/>
      <c r="R211" t="s">
        <v>198</v>
      </c>
    </row>
    <row r="212" spans="1:18" outlineLevel="1" x14ac:dyDescent="0.25">
      <c r="A212" s="41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63">
        <f>SUM(B212:M212)</f>
        <v>0</v>
      </c>
      <c r="O212" s="58"/>
      <c r="P212" s="58"/>
      <c r="Q212" s="8"/>
    </row>
    <row r="213" spans="1:18" outlineLevel="1" x14ac:dyDescent="0.25">
      <c r="A213" s="41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61"/>
      <c r="O213" s="58"/>
      <c r="P213" s="58"/>
      <c r="Q213" s="8"/>
    </row>
    <row r="214" spans="1:18" x14ac:dyDescent="0.25">
      <c r="A214" s="44" t="s">
        <v>182</v>
      </c>
      <c r="B214" s="45">
        <f t="shared" ref="B214:L214" si="54">B191+B199+B205+B207+B209+B210+B211+B208</f>
        <v>3473</v>
      </c>
      <c r="C214" s="45">
        <f t="shared" si="54"/>
        <v>4453.2</v>
      </c>
      <c r="D214" s="45">
        <f t="shared" si="54"/>
        <v>3601</v>
      </c>
      <c r="E214" s="45">
        <f t="shared" si="54"/>
        <v>3750</v>
      </c>
      <c r="F214" s="45">
        <f t="shared" si="54"/>
        <v>2550</v>
      </c>
      <c r="G214" s="45">
        <f t="shared" si="54"/>
        <v>2650</v>
      </c>
      <c r="H214" s="45">
        <f t="shared" si="54"/>
        <v>7150</v>
      </c>
      <c r="I214" s="45">
        <f t="shared" si="54"/>
        <v>2650</v>
      </c>
      <c r="J214" s="45">
        <f t="shared" si="54"/>
        <v>2650</v>
      </c>
      <c r="K214" s="45">
        <f t="shared" si="54"/>
        <v>2750</v>
      </c>
      <c r="L214" s="45">
        <f t="shared" si="54"/>
        <v>2750</v>
      </c>
      <c r="M214" s="45">
        <f>M191+M199+M205+M207+M209+M210+M211+M208</f>
        <v>12050</v>
      </c>
      <c r="N214" s="80">
        <f>SUM(B214:M214)</f>
        <v>50477.2</v>
      </c>
      <c r="O214" s="80">
        <f>SUM(O180:O211)</f>
        <v>55522.2</v>
      </c>
      <c r="P214" s="80">
        <f>SUM(P180:P211)</f>
        <v>56922.2</v>
      </c>
      <c r="Q214" s="8"/>
    </row>
    <row r="215" spans="1:18" ht="15.75" thickBot="1" x14ac:dyDescent="0.3">
      <c r="A215" s="46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61"/>
      <c r="O215" s="58"/>
      <c r="P215" s="58"/>
      <c r="Q215" s="8"/>
    </row>
    <row r="216" spans="1:18" s="3" customFormat="1" ht="16.5" thickBot="1" x14ac:dyDescent="0.3">
      <c r="A216" s="99" t="s">
        <v>183</v>
      </c>
      <c r="B216" s="100">
        <f t="shared" ref="B216:M216" si="55">B214+B178+B135+B107+B72+B53</f>
        <v>121957.14715</v>
      </c>
      <c r="C216" s="100">
        <f t="shared" si="55"/>
        <v>130284.21262999999</v>
      </c>
      <c r="D216" s="100">
        <f t="shared" si="55"/>
        <v>129220.14463</v>
      </c>
      <c r="E216" s="100">
        <f t="shared" si="55"/>
        <v>129454.56462999999</v>
      </c>
      <c r="F216" s="100">
        <f t="shared" si="55"/>
        <v>140734.16463000001</v>
      </c>
      <c r="G216" s="100">
        <f t="shared" si="55"/>
        <v>128015.16463</v>
      </c>
      <c r="H216" s="100">
        <f t="shared" si="55"/>
        <v>133639.16463000001</v>
      </c>
      <c r="I216" s="100">
        <f t="shared" si="55"/>
        <v>130790.16463</v>
      </c>
      <c r="J216" s="100">
        <f t="shared" si="55"/>
        <v>128590.16463</v>
      </c>
      <c r="K216" s="100">
        <f t="shared" si="55"/>
        <v>128214.16463</v>
      </c>
      <c r="L216" s="100">
        <f t="shared" si="55"/>
        <v>128892.16463</v>
      </c>
      <c r="M216" s="100">
        <f t="shared" si="55"/>
        <v>122053.84715</v>
      </c>
      <c r="N216" s="101">
        <f>N214+N178+N135+N107+N72+N53</f>
        <v>1551845.0685999999</v>
      </c>
      <c r="O216" s="101">
        <f>O214+O178+O135+O107+O72+O53+Q44</f>
        <v>1585511.8848066153</v>
      </c>
      <c r="P216" s="102">
        <f>P214+P178+P135+P107+P72+P53+R44</f>
        <v>1681323.3900438</v>
      </c>
      <c r="Q216" s="9"/>
    </row>
    <row r="217" spans="1:18" hidden="1" x14ac:dyDescent="0.25">
      <c r="A217" s="4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61"/>
      <c r="O217" s="58"/>
      <c r="P217" s="58"/>
      <c r="Q217" s="8"/>
    </row>
    <row r="218" spans="1:18" hidden="1" x14ac:dyDescent="0.25">
      <c r="A218" s="16" t="s">
        <v>163</v>
      </c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61"/>
      <c r="O218" s="58"/>
      <c r="P218" s="58"/>
      <c r="Q218" s="8"/>
    </row>
    <row r="219" spans="1:18" outlineLevel="1" x14ac:dyDescent="0.25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61"/>
      <c r="O219" s="58"/>
      <c r="P219" s="58"/>
      <c r="Q219" s="8"/>
    </row>
    <row r="220" spans="1:18" outlineLevel="1" x14ac:dyDescent="0.25">
      <c r="A220" s="47"/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81"/>
      <c r="O220" s="58"/>
      <c r="P220" s="58"/>
      <c r="Q220" s="8"/>
    </row>
    <row r="221" spans="1:18" outlineLevel="1" x14ac:dyDescent="0.25">
      <c r="A221" s="4" t="s">
        <v>89</v>
      </c>
      <c r="B221" s="5">
        <v>300</v>
      </c>
      <c r="C221" s="5">
        <v>300</v>
      </c>
      <c r="D221" s="5">
        <v>300</v>
      </c>
      <c r="E221" s="5">
        <v>300</v>
      </c>
      <c r="F221" s="5">
        <v>300</v>
      </c>
      <c r="G221" s="5">
        <v>300</v>
      </c>
      <c r="H221" s="5">
        <v>300</v>
      </c>
      <c r="I221" s="5">
        <v>300</v>
      </c>
      <c r="J221" s="5">
        <v>300</v>
      </c>
      <c r="K221" s="5">
        <v>300</v>
      </c>
      <c r="L221" s="5">
        <v>300</v>
      </c>
      <c r="M221" s="5">
        <v>3000</v>
      </c>
      <c r="N221" s="61">
        <f>SUM(B221:M221)</f>
        <v>6300</v>
      </c>
      <c r="O221" s="58">
        <v>36000</v>
      </c>
      <c r="P221" s="58">
        <v>36000</v>
      </c>
      <c r="Q221" s="8"/>
    </row>
    <row r="222" spans="1:18" outlineLevel="1" x14ac:dyDescent="0.25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61"/>
      <c r="O222" s="74"/>
      <c r="P222" s="58"/>
      <c r="Q222" s="8"/>
    </row>
    <row r="223" spans="1:18" outlineLevel="1" x14ac:dyDescent="0.25">
      <c r="A223" s="4" t="s">
        <v>113</v>
      </c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61"/>
      <c r="O223" s="58"/>
      <c r="P223" s="58"/>
      <c r="Q223" s="8"/>
    </row>
    <row r="224" spans="1:18" outlineLevel="1" x14ac:dyDescent="0.25">
      <c r="A224" s="4" t="s">
        <v>90</v>
      </c>
      <c r="B224" s="5">
        <v>35</v>
      </c>
      <c r="C224" s="5">
        <v>35</v>
      </c>
      <c r="D224" s="5">
        <v>35</v>
      </c>
      <c r="E224" s="5">
        <v>35</v>
      </c>
      <c r="F224" s="5">
        <v>35</v>
      </c>
      <c r="G224" s="5">
        <v>35</v>
      </c>
      <c r="H224" s="5">
        <v>35</v>
      </c>
      <c r="I224" s="5">
        <v>35</v>
      </c>
      <c r="J224" s="5">
        <v>35</v>
      </c>
      <c r="K224" s="5">
        <v>35</v>
      </c>
      <c r="L224" s="5">
        <v>35</v>
      </c>
      <c r="M224" s="5">
        <v>35</v>
      </c>
      <c r="N224" s="61">
        <f>SUM(B224:M224)</f>
        <v>420</v>
      </c>
      <c r="O224" s="58"/>
      <c r="P224" s="58"/>
      <c r="Q224" s="8"/>
    </row>
    <row r="225" spans="1:17" outlineLevel="1" x14ac:dyDescent="0.25">
      <c r="A225" s="4" t="s">
        <v>91</v>
      </c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61"/>
      <c r="O225" s="58"/>
      <c r="P225" s="58"/>
      <c r="Q225" s="8"/>
    </row>
    <row r="226" spans="1:17" outlineLevel="1" x14ac:dyDescent="0.25">
      <c r="A226" s="4" t="s">
        <v>114</v>
      </c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61"/>
      <c r="O226" s="58"/>
      <c r="P226" s="58"/>
      <c r="Q226" s="8"/>
    </row>
    <row r="227" spans="1:17" outlineLevel="1" x14ac:dyDescent="0.25">
      <c r="A227" s="4" t="s">
        <v>115</v>
      </c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61"/>
      <c r="O227" s="58"/>
      <c r="P227" s="58"/>
      <c r="Q227" s="8"/>
    </row>
    <row r="228" spans="1:17" outlineLevel="1" x14ac:dyDescent="0.25">
      <c r="A228" s="4" t="s">
        <v>117</v>
      </c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61"/>
      <c r="O228" s="58"/>
      <c r="P228" s="58"/>
      <c r="Q228" s="8"/>
    </row>
    <row r="229" spans="1:17" outlineLevel="1" x14ac:dyDescent="0.25">
      <c r="A229" s="4" t="s">
        <v>116</v>
      </c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61"/>
      <c r="O229" s="58"/>
      <c r="P229" s="58"/>
      <c r="Q229" s="8"/>
    </row>
    <row r="230" spans="1:17" outlineLevel="1" x14ac:dyDescent="0.25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61"/>
      <c r="O230" s="58"/>
      <c r="P230" s="58"/>
      <c r="Q230" s="8"/>
    </row>
    <row r="231" spans="1:17" s="2" customFormat="1" x14ac:dyDescent="0.25">
      <c r="A231" s="16" t="s">
        <v>92</v>
      </c>
      <c r="B231" s="17">
        <f t="shared" ref="B231:M231" si="56">SUM(B221:B230)</f>
        <v>335</v>
      </c>
      <c r="C231" s="17">
        <f t="shared" si="56"/>
        <v>335</v>
      </c>
      <c r="D231" s="17">
        <f t="shared" si="56"/>
        <v>335</v>
      </c>
      <c r="E231" s="17">
        <f t="shared" si="56"/>
        <v>335</v>
      </c>
      <c r="F231" s="17">
        <f t="shared" si="56"/>
        <v>335</v>
      </c>
      <c r="G231" s="17">
        <f t="shared" si="56"/>
        <v>335</v>
      </c>
      <c r="H231" s="17">
        <f t="shared" si="56"/>
        <v>335</v>
      </c>
      <c r="I231" s="17">
        <f t="shared" si="56"/>
        <v>335</v>
      </c>
      <c r="J231" s="17">
        <f t="shared" si="56"/>
        <v>335</v>
      </c>
      <c r="K231" s="17">
        <f t="shared" si="56"/>
        <v>335</v>
      </c>
      <c r="L231" s="17">
        <f t="shared" si="56"/>
        <v>335</v>
      </c>
      <c r="M231" s="17">
        <f t="shared" si="56"/>
        <v>3035</v>
      </c>
      <c r="N231" s="57">
        <f>SUM(B231:M231)</f>
        <v>6720</v>
      </c>
      <c r="O231" s="57">
        <v>6720</v>
      </c>
      <c r="P231" s="57">
        <v>6720</v>
      </c>
      <c r="Q231" s="9"/>
    </row>
    <row r="232" spans="1:17" outlineLevel="1" x14ac:dyDescent="0.25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61"/>
      <c r="O232" s="61"/>
      <c r="P232" s="61"/>
      <c r="Q232" s="8"/>
    </row>
    <row r="233" spans="1:17" outlineLevel="1" x14ac:dyDescent="0.25">
      <c r="A233" s="4" t="s">
        <v>93</v>
      </c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61"/>
      <c r="O233" s="61"/>
      <c r="P233" s="61"/>
      <c r="Q233" s="8"/>
    </row>
    <row r="234" spans="1:17" outlineLevel="1" x14ac:dyDescent="0.25">
      <c r="A234" s="4" t="s">
        <v>94</v>
      </c>
      <c r="B234" s="5">
        <v>300</v>
      </c>
      <c r="C234" s="5">
        <v>300</v>
      </c>
      <c r="D234" s="5">
        <v>300</v>
      </c>
      <c r="E234" s="5">
        <v>300</v>
      </c>
      <c r="F234" s="5">
        <v>300</v>
      </c>
      <c r="G234" s="5">
        <v>300</v>
      </c>
      <c r="H234" s="5">
        <v>300</v>
      </c>
      <c r="I234" s="5">
        <v>300</v>
      </c>
      <c r="J234" s="5">
        <v>300</v>
      </c>
      <c r="K234" s="5">
        <v>300</v>
      </c>
      <c r="L234" s="5">
        <v>300</v>
      </c>
      <c r="M234" s="5">
        <v>2720</v>
      </c>
      <c r="N234" s="61">
        <f>SUM(B234:M234)</f>
        <v>6020</v>
      </c>
      <c r="O234" s="61">
        <v>6020</v>
      </c>
      <c r="P234" s="61">
        <v>6020</v>
      </c>
      <c r="Q234" s="8"/>
    </row>
    <row r="235" spans="1:17" outlineLevel="1" x14ac:dyDescent="0.25">
      <c r="A235" s="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61"/>
      <c r="O235" s="61"/>
      <c r="P235" s="61"/>
      <c r="Q235" s="8"/>
    </row>
    <row r="236" spans="1:17" outlineLevel="1" x14ac:dyDescent="0.25">
      <c r="A236" s="4" t="s">
        <v>120</v>
      </c>
      <c r="B236" s="5">
        <v>35</v>
      </c>
      <c r="C236" s="5">
        <v>35</v>
      </c>
      <c r="D236" s="5">
        <v>35</v>
      </c>
      <c r="E236" s="5">
        <v>35</v>
      </c>
      <c r="F236" s="5">
        <v>35</v>
      </c>
      <c r="G236" s="5">
        <v>35</v>
      </c>
      <c r="H236" s="5">
        <v>35</v>
      </c>
      <c r="I236" s="5">
        <v>35</v>
      </c>
      <c r="J236" s="5">
        <v>35</v>
      </c>
      <c r="K236" s="5">
        <v>35</v>
      </c>
      <c r="L236" s="5">
        <v>35</v>
      </c>
      <c r="M236" s="5">
        <v>35</v>
      </c>
      <c r="N236" s="61">
        <f>SUM(B236:M236)</f>
        <v>420</v>
      </c>
      <c r="O236" s="61">
        <v>420</v>
      </c>
      <c r="P236" s="61">
        <v>420</v>
      </c>
      <c r="Q236" s="8"/>
    </row>
    <row r="237" spans="1:17" outlineLevel="1" x14ac:dyDescent="0.25">
      <c r="A237" s="4" t="s">
        <v>113</v>
      </c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61"/>
      <c r="O237" s="61"/>
      <c r="P237" s="61"/>
      <c r="Q237" s="8"/>
    </row>
    <row r="238" spans="1:17" outlineLevel="1" x14ac:dyDescent="0.25">
      <c r="A238" s="4" t="s">
        <v>95</v>
      </c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61"/>
      <c r="O238" s="61"/>
      <c r="P238" s="61"/>
      <c r="Q238" s="8"/>
    </row>
    <row r="239" spans="1:17" outlineLevel="1" x14ac:dyDescent="0.25">
      <c r="A239" s="4" t="s">
        <v>97</v>
      </c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61"/>
      <c r="O239" s="61"/>
      <c r="P239" s="61"/>
      <c r="Q239" s="8"/>
    </row>
    <row r="240" spans="1:17" outlineLevel="1" x14ac:dyDescent="0.25">
      <c r="A240" s="4" t="s">
        <v>96</v>
      </c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61"/>
      <c r="O240" s="61"/>
      <c r="P240" s="61"/>
      <c r="Q240" s="8"/>
    </row>
    <row r="241" spans="1:17" outlineLevel="1" x14ac:dyDescent="0.25">
      <c r="A241" s="4" t="s">
        <v>117</v>
      </c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61"/>
      <c r="O241" s="61"/>
      <c r="P241" s="61"/>
      <c r="Q241" s="8"/>
    </row>
    <row r="242" spans="1:17" outlineLevel="1" x14ac:dyDescent="0.25">
      <c r="A242" s="4" t="s">
        <v>116</v>
      </c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61"/>
      <c r="O242" s="61"/>
      <c r="P242" s="61"/>
      <c r="Q242" s="8"/>
    </row>
    <row r="243" spans="1:17" outlineLevel="1" x14ac:dyDescent="0.25">
      <c r="A243" s="4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61"/>
      <c r="O243" s="61"/>
      <c r="P243" s="61"/>
      <c r="Q243" s="8"/>
    </row>
    <row r="244" spans="1:17" outlineLevel="1" x14ac:dyDescent="0.25">
      <c r="A244" s="4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61"/>
      <c r="O244" s="61"/>
      <c r="P244" s="61"/>
      <c r="Q244" s="8"/>
    </row>
    <row r="245" spans="1:17" x14ac:dyDescent="0.25">
      <c r="A245" s="4" t="s">
        <v>98</v>
      </c>
      <c r="B245" s="17">
        <f t="shared" ref="B245:M245" si="57">SUM(B234:B244)</f>
        <v>335</v>
      </c>
      <c r="C245" s="17">
        <f t="shared" si="57"/>
        <v>335</v>
      </c>
      <c r="D245" s="17">
        <f t="shared" si="57"/>
        <v>335</v>
      </c>
      <c r="E245" s="17">
        <f t="shared" si="57"/>
        <v>335</v>
      </c>
      <c r="F245" s="17">
        <f t="shared" si="57"/>
        <v>335</v>
      </c>
      <c r="G245" s="17">
        <f t="shared" si="57"/>
        <v>335</v>
      </c>
      <c r="H245" s="17">
        <f t="shared" si="57"/>
        <v>335</v>
      </c>
      <c r="I245" s="17">
        <f t="shared" si="57"/>
        <v>335</v>
      </c>
      <c r="J245" s="17">
        <f t="shared" si="57"/>
        <v>335</v>
      </c>
      <c r="K245" s="17">
        <f t="shared" si="57"/>
        <v>335</v>
      </c>
      <c r="L245" s="17">
        <f t="shared" si="57"/>
        <v>335</v>
      </c>
      <c r="M245" s="17">
        <f t="shared" si="57"/>
        <v>2755</v>
      </c>
      <c r="N245" s="57">
        <f t="shared" ref="N245:N252" si="58">SUM(B245:M245)</f>
        <v>6440</v>
      </c>
      <c r="O245" s="57">
        <v>6440</v>
      </c>
      <c r="P245" s="57">
        <v>6440</v>
      </c>
      <c r="Q245" s="8"/>
    </row>
    <row r="246" spans="1:17" x14ac:dyDescent="0.25">
      <c r="A246" s="103" t="s">
        <v>164</v>
      </c>
      <c r="B246" s="104"/>
      <c r="C246" s="104"/>
      <c r="D246" s="104"/>
      <c r="E246" s="104"/>
      <c r="F246" s="104"/>
      <c r="G246" s="104"/>
      <c r="H246" s="104"/>
      <c r="I246" s="104"/>
      <c r="J246" s="104"/>
      <c r="K246" s="104"/>
      <c r="L246" s="104"/>
      <c r="M246" s="104"/>
      <c r="N246" s="92">
        <f t="shared" si="58"/>
        <v>0</v>
      </c>
      <c r="O246" s="105"/>
      <c r="P246" s="105"/>
      <c r="Q246" s="8"/>
    </row>
    <row r="247" spans="1:17" x14ac:dyDescent="0.25">
      <c r="A247" s="103" t="s">
        <v>165</v>
      </c>
      <c r="B247" s="104"/>
      <c r="C247" s="104">
        <v>0</v>
      </c>
      <c r="D247" s="104"/>
      <c r="E247" s="104"/>
      <c r="F247" s="104"/>
      <c r="G247" s="104"/>
      <c r="H247" s="104"/>
      <c r="I247" s="104"/>
      <c r="J247" s="104"/>
      <c r="K247" s="104"/>
      <c r="L247" s="104"/>
      <c r="M247" s="104"/>
      <c r="N247" s="92">
        <f t="shared" si="58"/>
        <v>0</v>
      </c>
      <c r="O247" s="105"/>
      <c r="P247" s="105"/>
      <c r="Q247" s="8"/>
    </row>
    <row r="248" spans="1:17" x14ac:dyDescent="0.25">
      <c r="A248" s="103" t="s">
        <v>166</v>
      </c>
      <c r="B248" s="104"/>
      <c r="C248" s="104">
        <v>0</v>
      </c>
      <c r="D248" s="104"/>
      <c r="E248" s="104"/>
      <c r="F248" s="104"/>
      <c r="G248" s="104"/>
      <c r="H248" s="104"/>
      <c r="I248" s="104"/>
      <c r="J248" s="104"/>
      <c r="K248" s="104"/>
      <c r="L248" s="104"/>
      <c r="M248" s="104"/>
      <c r="N248" s="92">
        <f t="shared" si="58"/>
        <v>0</v>
      </c>
      <c r="O248" s="105"/>
      <c r="P248" s="105"/>
      <c r="Q248" s="8"/>
    </row>
    <row r="249" spans="1:17" x14ac:dyDescent="0.25">
      <c r="A249" s="103" t="s">
        <v>185</v>
      </c>
      <c r="B249" s="104"/>
      <c r="C249" s="104"/>
      <c r="D249" s="104"/>
      <c r="E249" s="104"/>
      <c r="F249" s="104"/>
      <c r="G249" s="104"/>
      <c r="H249" s="104"/>
      <c r="I249" s="104"/>
      <c r="J249" s="104"/>
      <c r="K249" s="104"/>
      <c r="L249" s="104"/>
      <c r="M249" s="104"/>
      <c r="N249" s="92">
        <f t="shared" si="58"/>
        <v>0</v>
      </c>
      <c r="O249" s="105"/>
      <c r="P249" s="105"/>
      <c r="Q249" s="8"/>
    </row>
    <row r="250" spans="1:17" x14ac:dyDescent="0.25">
      <c r="A250" s="103" t="s">
        <v>172</v>
      </c>
      <c r="B250" s="104">
        <v>0</v>
      </c>
      <c r="C250" s="104"/>
      <c r="D250" s="104"/>
      <c r="E250" s="104"/>
      <c r="F250" s="104"/>
      <c r="G250" s="104"/>
      <c r="H250" s="104"/>
      <c r="I250" s="104"/>
      <c r="J250" s="104"/>
      <c r="K250" s="104"/>
      <c r="L250" s="104"/>
      <c r="M250" s="104"/>
      <c r="N250" s="92">
        <f t="shared" si="58"/>
        <v>0</v>
      </c>
      <c r="O250" s="105"/>
      <c r="P250" s="105"/>
      <c r="Q250" s="8"/>
    </row>
    <row r="251" spans="1:17" ht="15.75" thickBot="1" x14ac:dyDescent="0.3">
      <c r="A251" s="103" t="s">
        <v>168</v>
      </c>
      <c r="B251" s="104">
        <f>SUM(B246:B250)</f>
        <v>0</v>
      </c>
      <c r="C251" s="104">
        <f t="shared" ref="C251:M251" si="59">SUM(C246:C250)</f>
        <v>0</v>
      </c>
      <c r="D251" s="104">
        <f t="shared" si="59"/>
        <v>0</v>
      </c>
      <c r="E251" s="104">
        <f t="shared" si="59"/>
        <v>0</v>
      </c>
      <c r="F251" s="104">
        <f t="shared" si="59"/>
        <v>0</v>
      </c>
      <c r="G251" s="104">
        <f t="shared" si="59"/>
        <v>0</v>
      </c>
      <c r="H251" s="104">
        <f t="shared" si="59"/>
        <v>0</v>
      </c>
      <c r="I251" s="104">
        <f t="shared" si="59"/>
        <v>0</v>
      </c>
      <c r="J251" s="104">
        <f t="shared" si="59"/>
        <v>0</v>
      </c>
      <c r="K251" s="104">
        <f t="shared" si="59"/>
        <v>0</v>
      </c>
      <c r="L251" s="104">
        <f t="shared" si="59"/>
        <v>0</v>
      </c>
      <c r="M251" s="104">
        <f t="shared" si="59"/>
        <v>0</v>
      </c>
      <c r="N251" s="92">
        <f t="shared" si="58"/>
        <v>0</v>
      </c>
      <c r="O251" s="105"/>
      <c r="P251" s="105"/>
      <c r="Q251" s="8"/>
    </row>
    <row r="252" spans="1:17" ht="15.75" thickBot="1" x14ac:dyDescent="0.3">
      <c r="A252" s="106" t="s">
        <v>167</v>
      </c>
      <c r="B252" s="107">
        <f>B251+B216+B245</f>
        <v>122292.14715</v>
      </c>
      <c r="C252" s="107">
        <f t="shared" ref="C252:M252" si="60">C251+C216+C245</f>
        <v>130619.21262999999</v>
      </c>
      <c r="D252" s="107">
        <f t="shared" si="60"/>
        <v>129555.14463</v>
      </c>
      <c r="E252" s="107">
        <f t="shared" si="60"/>
        <v>129789.56462999999</v>
      </c>
      <c r="F252" s="107">
        <f t="shared" si="60"/>
        <v>141069.16463000001</v>
      </c>
      <c r="G252" s="107">
        <f t="shared" si="60"/>
        <v>128350.16463</v>
      </c>
      <c r="H252" s="107">
        <f t="shared" si="60"/>
        <v>133974.16463000001</v>
      </c>
      <c r="I252" s="107">
        <f t="shared" si="60"/>
        <v>131125.16463000001</v>
      </c>
      <c r="J252" s="107">
        <f t="shared" si="60"/>
        <v>128925.16463</v>
      </c>
      <c r="K252" s="107">
        <f t="shared" si="60"/>
        <v>128549.16463</v>
      </c>
      <c r="L252" s="107">
        <f t="shared" si="60"/>
        <v>129227.16463</v>
      </c>
      <c r="M252" s="107">
        <f t="shared" si="60"/>
        <v>124808.84715</v>
      </c>
      <c r="N252" s="108">
        <f t="shared" si="58"/>
        <v>1558285.0686000001</v>
      </c>
      <c r="O252" s="108">
        <f>O245+O216</f>
        <v>1591951.8848066153</v>
      </c>
      <c r="P252" s="109">
        <f>P245+P216</f>
        <v>1687763.3900438</v>
      </c>
      <c r="Q252" s="8"/>
    </row>
    <row r="253" spans="1:17" x14ac:dyDescent="0.25">
      <c r="A253" s="8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58"/>
      <c r="O253" s="58"/>
      <c r="P253" s="58"/>
      <c r="Q253" s="8"/>
    </row>
    <row r="254" spans="1:17" x14ac:dyDescent="0.25">
      <c r="A254" s="9" t="s">
        <v>169</v>
      </c>
      <c r="B254" s="6">
        <f>B41-B252+B231</f>
        <v>5280.880284640516</v>
      </c>
      <c r="C254" s="6">
        <f t="shared" ref="C254:L254" si="61">C41-C252+C231</f>
        <v>-3046.1851953594742</v>
      </c>
      <c r="D254" s="6">
        <f t="shared" si="61"/>
        <v>-1482.1171953594749</v>
      </c>
      <c r="E254" s="6">
        <f t="shared" si="61"/>
        <v>5049.4628046405414</v>
      </c>
      <c r="F254" s="6">
        <f t="shared" si="61"/>
        <v>-5530.1371953594789</v>
      </c>
      <c r="G254" s="6">
        <f t="shared" si="61"/>
        <v>6188.8628046405356</v>
      </c>
      <c r="H254" s="6">
        <f t="shared" si="61"/>
        <v>5996.862804640492</v>
      </c>
      <c r="I254" s="6">
        <f t="shared" si="61"/>
        <v>3413.8628046405211</v>
      </c>
      <c r="J254" s="6">
        <f t="shared" si="61"/>
        <v>5613.8628046405356</v>
      </c>
      <c r="K254" s="6">
        <f t="shared" si="61"/>
        <v>5989.8628046405356</v>
      </c>
      <c r="L254" s="6">
        <f t="shared" si="61"/>
        <v>5311.8628046405356</v>
      </c>
      <c r="M254" s="6">
        <f>M41-M252+M231</f>
        <v>12430.180284640534</v>
      </c>
      <c r="N254" s="66">
        <f>N41-N252</f>
        <v>38497.26061568642</v>
      </c>
      <c r="O254" s="66">
        <f t="shared" ref="O254:P254" si="62">O41-O252</f>
        <v>159565.62117616436</v>
      </c>
      <c r="P254" s="66">
        <f t="shared" si="62"/>
        <v>294514.60345231625</v>
      </c>
      <c r="Q254" s="8"/>
    </row>
    <row r="255" spans="1:17" x14ac:dyDescent="0.25">
      <c r="A255" s="8" t="s">
        <v>170</v>
      </c>
      <c r="B255" s="7">
        <v>650000</v>
      </c>
      <c r="C255" s="7">
        <f>B256</f>
        <v>655280.88028464047</v>
      </c>
      <c r="D255" s="7">
        <f t="shared" ref="D255:M255" si="63">C256</f>
        <v>652234.69508928095</v>
      </c>
      <c r="E255" s="7">
        <f t="shared" si="63"/>
        <v>650752.57789392152</v>
      </c>
      <c r="F255" s="7">
        <f t="shared" si="63"/>
        <v>655802.04069856205</v>
      </c>
      <c r="G255" s="7">
        <f t="shared" si="63"/>
        <v>650271.9035032026</v>
      </c>
      <c r="H255" s="7">
        <f t="shared" si="63"/>
        <v>656460.76630784315</v>
      </c>
      <c r="I255" s="7">
        <f t="shared" si="63"/>
        <v>662457.6291124837</v>
      </c>
      <c r="J255" s="7">
        <f t="shared" si="63"/>
        <v>665871.49191712425</v>
      </c>
      <c r="K255" s="7">
        <f t="shared" si="63"/>
        <v>671485.3547217648</v>
      </c>
      <c r="L255" s="7">
        <f t="shared" si="63"/>
        <v>677475.21752640535</v>
      </c>
      <c r="M255" s="7">
        <f t="shared" si="63"/>
        <v>682787.0803310459</v>
      </c>
      <c r="N255" s="58">
        <f>B255</f>
        <v>650000</v>
      </c>
      <c r="O255" s="58">
        <f>N256</f>
        <v>688497.26061568642</v>
      </c>
      <c r="P255" s="58">
        <f>O256</f>
        <v>848062.88179185078</v>
      </c>
      <c r="Q255" s="8"/>
    </row>
    <row r="256" spans="1:17" x14ac:dyDescent="0.25">
      <c r="A256" s="9" t="s">
        <v>171</v>
      </c>
      <c r="B256" s="6">
        <f>B254+B255</f>
        <v>655280.88028464047</v>
      </c>
      <c r="C256" s="6">
        <f>C254+C255</f>
        <v>652234.69508928095</v>
      </c>
      <c r="D256" s="6">
        <f t="shared" ref="D256:N256" si="64">D254+D255</f>
        <v>650752.57789392152</v>
      </c>
      <c r="E256" s="6">
        <f t="shared" si="64"/>
        <v>655802.04069856205</v>
      </c>
      <c r="F256" s="6">
        <f t="shared" si="64"/>
        <v>650271.9035032026</v>
      </c>
      <c r="G256" s="6">
        <f t="shared" si="64"/>
        <v>656460.76630784315</v>
      </c>
      <c r="H256" s="6">
        <f t="shared" si="64"/>
        <v>662457.6291124837</v>
      </c>
      <c r="I256" s="6">
        <f t="shared" si="64"/>
        <v>665871.49191712425</v>
      </c>
      <c r="J256" s="6">
        <f t="shared" si="64"/>
        <v>671485.3547217648</v>
      </c>
      <c r="K256" s="6">
        <f t="shared" si="64"/>
        <v>677475.21752640535</v>
      </c>
      <c r="L256" s="6">
        <f t="shared" si="64"/>
        <v>682787.0803310459</v>
      </c>
      <c r="M256" s="6">
        <f t="shared" si="64"/>
        <v>695217.26061568642</v>
      </c>
      <c r="N256" s="66">
        <f t="shared" si="64"/>
        <v>688497.26061568642</v>
      </c>
      <c r="O256" s="66">
        <f>O254+O255</f>
        <v>848062.88179185078</v>
      </c>
      <c r="P256" s="66">
        <f>P254+P255</f>
        <v>1142577.485244167</v>
      </c>
      <c r="Q256" s="8"/>
    </row>
    <row r="257" spans="1:17" ht="15.75" thickBot="1" x14ac:dyDescent="0.3">
      <c r="A257" s="8" t="s">
        <v>175</v>
      </c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58">
        <f>(N15+N16+N23+N29+N30+N34+N231)*0.03</f>
        <v>46874.019876470593</v>
      </c>
      <c r="O257" s="58">
        <f>(O15+O16+O23+O29+O30+O34+O231)*0.03</f>
        <v>51501.903440352951</v>
      </c>
      <c r="P257" s="58">
        <f>(P15+P16+P23+P29+P30+P34+P231)*0.03</f>
        <v>58229.239470435328</v>
      </c>
      <c r="Q257" s="8"/>
    </row>
    <row r="258" spans="1:17" ht="15.75" thickBot="1" x14ac:dyDescent="0.3">
      <c r="A258" s="110" t="s">
        <v>176</v>
      </c>
      <c r="B258" s="111"/>
      <c r="C258" s="111"/>
      <c r="D258" s="111"/>
      <c r="E258" s="111"/>
      <c r="F258" s="111"/>
      <c r="G258" s="111"/>
      <c r="H258" s="111"/>
      <c r="I258" s="111"/>
      <c r="J258" s="111"/>
      <c r="K258" s="111"/>
      <c r="L258" s="111"/>
      <c r="M258" s="111"/>
      <c r="N258" s="112">
        <f>N256-N257</f>
        <v>641623.24073921586</v>
      </c>
      <c r="O258" s="112">
        <f>O256-O257</f>
        <v>796560.97835149779</v>
      </c>
      <c r="P258" s="113">
        <f>P256-P257</f>
        <v>1084348.2457737317</v>
      </c>
      <c r="Q258" s="8"/>
    </row>
    <row r="259" spans="1:17" x14ac:dyDescent="0.25">
      <c r="A259" s="8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58"/>
      <c r="O259" s="58"/>
      <c r="P259" s="58"/>
      <c r="Q259" s="8"/>
    </row>
    <row r="260" spans="1:17" x14ac:dyDescent="0.25">
      <c r="A260" s="9" t="s">
        <v>187</v>
      </c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124">
        <f>N258/N216</f>
        <v>0.41345831083386281</v>
      </c>
      <c r="O260" s="124">
        <f>O258/O216</f>
        <v>0.50239987854058521</v>
      </c>
      <c r="P260" s="124">
        <f>P258/P216</f>
        <v>0.64493734649434897</v>
      </c>
      <c r="Q260" s="8"/>
    </row>
    <row r="261" spans="1:17" x14ac:dyDescent="0.25">
      <c r="A261" s="8" t="s">
        <v>188</v>
      </c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58"/>
      <c r="O261" s="58"/>
      <c r="P261" s="58"/>
      <c r="Q261" s="8"/>
    </row>
    <row r="262" spans="1:17" x14ac:dyDescent="0.25">
      <c r="A262" s="8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58"/>
      <c r="O262" s="58"/>
      <c r="P262" s="58"/>
      <c r="Q262" s="8"/>
    </row>
    <row r="263" spans="1:17" x14ac:dyDescent="0.25">
      <c r="A263" s="8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58"/>
      <c r="O263" s="58"/>
      <c r="P263" s="58"/>
      <c r="Q263" s="8"/>
    </row>
    <row r="264" spans="1:17" x14ac:dyDescent="0.25">
      <c r="A264" s="8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58"/>
      <c r="O264" s="58"/>
      <c r="P264" s="58"/>
      <c r="Q264" s="8"/>
    </row>
    <row r="265" spans="1:17" x14ac:dyDescent="0.25">
      <c r="A265" s="8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58"/>
      <c r="O265" s="58"/>
      <c r="P265" s="58"/>
      <c r="Q265" s="8"/>
    </row>
    <row r="266" spans="1:17" x14ac:dyDescent="0.25">
      <c r="A266" s="8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58"/>
      <c r="O266" s="58"/>
      <c r="P266" s="58"/>
      <c r="Q266" s="8"/>
    </row>
    <row r="267" spans="1:17" x14ac:dyDescent="0.25">
      <c r="A267" s="8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58"/>
      <c r="O267" s="58"/>
      <c r="P267" s="58"/>
      <c r="Q267" s="8"/>
    </row>
    <row r="268" spans="1:17" x14ac:dyDescent="0.25">
      <c r="A268" s="8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58"/>
      <c r="O268" s="58"/>
      <c r="P268" s="58"/>
      <c r="Q268" s="8"/>
    </row>
    <row r="269" spans="1:17" x14ac:dyDescent="0.25">
      <c r="A269" s="8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58"/>
      <c r="O269" s="58"/>
      <c r="P269" s="58"/>
      <c r="Q269" s="8"/>
    </row>
    <row r="270" spans="1:17" x14ac:dyDescent="0.25">
      <c r="A270" s="8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58"/>
      <c r="O270" s="58"/>
      <c r="P270" s="58"/>
      <c r="Q270" s="8"/>
    </row>
    <row r="271" spans="1:17" x14ac:dyDescent="0.25">
      <c r="A271" s="8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58"/>
      <c r="O271" s="58"/>
      <c r="P271" s="58"/>
      <c r="Q271" s="8"/>
    </row>
    <row r="272" spans="1:17" x14ac:dyDescent="0.25">
      <c r="A272" s="8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58"/>
      <c r="O272" s="58"/>
      <c r="P272" s="58"/>
      <c r="Q272" s="8"/>
    </row>
    <row r="273" spans="1:17" x14ac:dyDescent="0.25">
      <c r="A273" s="8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58"/>
      <c r="O273" s="58"/>
      <c r="P273" s="58"/>
      <c r="Q273" s="8"/>
    </row>
    <row r="274" spans="1:17" x14ac:dyDescent="0.25">
      <c r="A274" s="8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58"/>
      <c r="O274" s="58"/>
      <c r="P274" s="58"/>
      <c r="Q274" s="8"/>
    </row>
    <row r="275" spans="1:17" x14ac:dyDescent="0.25">
      <c r="A275" s="8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58"/>
      <c r="O275" s="58"/>
      <c r="P275" s="58"/>
      <c r="Q275" s="8"/>
    </row>
    <row r="276" spans="1:17" x14ac:dyDescent="0.25">
      <c r="A276" s="8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58"/>
      <c r="O276" s="58"/>
      <c r="P276" s="58"/>
      <c r="Q276" s="8"/>
    </row>
    <row r="277" spans="1:17" x14ac:dyDescent="0.25">
      <c r="A277" s="8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58"/>
      <c r="O277" s="58"/>
      <c r="P277" s="58"/>
      <c r="Q277" s="8"/>
    </row>
    <row r="278" spans="1:17" x14ac:dyDescent="0.25">
      <c r="A278" s="8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58"/>
      <c r="O278" s="58"/>
      <c r="P278" s="58"/>
      <c r="Q278" s="8"/>
    </row>
    <row r="279" spans="1:17" x14ac:dyDescent="0.25">
      <c r="A279" s="8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58"/>
      <c r="O279" s="58"/>
      <c r="P279" s="58"/>
      <c r="Q279" s="8"/>
    </row>
    <row r="280" spans="1:17" x14ac:dyDescent="0.25">
      <c r="A280" s="8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58"/>
      <c r="O280" s="58"/>
      <c r="P280" s="58"/>
      <c r="Q280" s="8"/>
    </row>
    <row r="281" spans="1:17" x14ac:dyDescent="0.25">
      <c r="A281" s="8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58"/>
      <c r="O281" s="58"/>
      <c r="P281" s="58"/>
      <c r="Q281" s="8"/>
    </row>
    <row r="282" spans="1:17" x14ac:dyDescent="0.25">
      <c r="A282" s="8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58"/>
      <c r="O282" s="58"/>
      <c r="P282" s="58"/>
      <c r="Q282" s="8"/>
    </row>
    <row r="283" spans="1:17" x14ac:dyDescent="0.25">
      <c r="A283" s="8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58"/>
      <c r="O283" s="58"/>
      <c r="P283" s="58"/>
      <c r="Q283" s="8"/>
    </row>
    <row r="284" spans="1:17" x14ac:dyDescent="0.25">
      <c r="A284" s="8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58"/>
      <c r="O284" s="58"/>
      <c r="P284" s="58"/>
      <c r="Q284" s="8"/>
    </row>
    <row r="285" spans="1:17" x14ac:dyDescent="0.25">
      <c r="A285" s="8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58"/>
      <c r="O285" s="58"/>
      <c r="P285" s="58"/>
      <c r="Q285" s="8"/>
    </row>
    <row r="286" spans="1:17" x14ac:dyDescent="0.25">
      <c r="A286" s="8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58"/>
      <c r="O286" s="58"/>
      <c r="P286" s="58"/>
      <c r="Q286" s="8"/>
    </row>
    <row r="287" spans="1:17" x14ac:dyDescent="0.25">
      <c r="A287" s="8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58"/>
      <c r="O287" s="58"/>
      <c r="P287" s="58"/>
      <c r="Q287" s="8"/>
    </row>
    <row r="288" spans="1:17" x14ac:dyDescent="0.25">
      <c r="A288" s="8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58"/>
      <c r="O288" s="58"/>
      <c r="P288" s="58"/>
      <c r="Q288" s="8"/>
    </row>
    <row r="289" spans="1:17" x14ac:dyDescent="0.25">
      <c r="A289" s="8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58"/>
      <c r="O289" s="58"/>
      <c r="P289" s="58"/>
      <c r="Q289" s="8"/>
    </row>
    <row r="290" spans="1:17" x14ac:dyDescent="0.25">
      <c r="A290" s="8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58"/>
      <c r="O290" s="58"/>
      <c r="P290" s="58"/>
      <c r="Q290" s="8"/>
    </row>
    <row r="291" spans="1:17" x14ac:dyDescent="0.25">
      <c r="A291" s="8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58"/>
      <c r="O291" s="58"/>
      <c r="P291" s="58"/>
      <c r="Q291" s="8"/>
    </row>
    <row r="292" spans="1:17" x14ac:dyDescent="0.25">
      <c r="A292" s="8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58"/>
      <c r="O292" s="58"/>
      <c r="P292" s="58"/>
      <c r="Q292" s="8"/>
    </row>
    <row r="293" spans="1:17" x14ac:dyDescent="0.25">
      <c r="A293" s="8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58"/>
      <c r="O293" s="58"/>
      <c r="P293" s="58"/>
      <c r="Q293" s="8"/>
    </row>
    <row r="294" spans="1:17" x14ac:dyDescent="0.25">
      <c r="A294" s="8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58"/>
      <c r="O294" s="58"/>
      <c r="P294" s="58"/>
      <c r="Q294" s="8"/>
    </row>
    <row r="295" spans="1:17" x14ac:dyDescent="0.25">
      <c r="A295" s="8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58"/>
      <c r="O295" s="58"/>
      <c r="P295" s="58"/>
      <c r="Q295" s="8"/>
    </row>
    <row r="296" spans="1:17" x14ac:dyDescent="0.25">
      <c r="A296" s="8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58"/>
      <c r="O296" s="58"/>
      <c r="P296" s="58"/>
      <c r="Q296" s="8"/>
    </row>
    <row r="297" spans="1:17" x14ac:dyDescent="0.25">
      <c r="A297" s="8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58"/>
      <c r="O297" s="58"/>
      <c r="P297" s="58"/>
      <c r="Q297" s="8"/>
    </row>
    <row r="298" spans="1:17" x14ac:dyDescent="0.25">
      <c r="A298" s="8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58"/>
      <c r="O298" s="58"/>
      <c r="P298" s="58"/>
      <c r="Q298" s="8"/>
    </row>
    <row r="299" spans="1:17" x14ac:dyDescent="0.25">
      <c r="A299" s="8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58"/>
      <c r="O299" s="58"/>
      <c r="P299" s="58"/>
      <c r="Q299" s="8"/>
    </row>
    <row r="300" spans="1:17" x14ac:dyDescent="0.25">
      <c r="A300" s="8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58"/>
      <c r="O300" s="58"/>
      <c r="P300" s="58"/>
      <c r="Q300" s="8"/>
    </row>
    <row r="301" spans="1:17" x14ac:dyDescent="0.25">
      <c r="A301" s="8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58"/>
      <c r="O301" s="58"/>
      <c r="P301" s="58"/>
      <c r="Q301" s="8"/>
    </row>
    <row r="302" spans="1:17" x14ac:dyDescent="0.25">
      <c r="A302" s="8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58"/>
      <c r="O302" s="58"/>
      <c r="P302" s="58"/>
      <c r="Q302" s="8"/>
    </row>
    <row r="303" spans="1:17" x14ac:dyDescent="0.25">
      <c r="A303" s="8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58"/>
      <c r="O303" s="58"/>
      <c r="P303" s="58"/>
      <c r="Q303" s="8"/>
    </row>
    <row r="304" spans="1:17" x14ac:dyDescent="0.25">
      <c r="A304" s="4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61"/>
    </row>
    <row r="305" spans="1:14" x14ac:dyDescent="0.25">
      <c r="A305" s="4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61"/>
    </row>
    <row r="306" spans="1:14" x14ac:dyDescent="0.25">
      <c r="A306" s="4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61"/>
    </row>
    <row r="307" spans="1:14" x14ac:dyDescent="0.25">
      <c r="A307" s="4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61"/>
    </row>
    <row r="308" spans="1:14" x14ac:dyDescent="0.25">
      <c r="A308" s="4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61"/>
    </row>
    <row r="309" spans="1:14" x14ac:dyDescent="0.25">
      <c r="A309" s="4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61"/>
    </row>
    <row r="310" spans="1:14" x14ac:dyDescent="0.25">
      <c r="A310" s="4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61"/>
    </row>
    <row r="311" spans="1:14" x14ac:dyDescent="0.25">
      <c r="A311" s="4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61"/>
    </row>
    <row r="312" spans="1:14" x14ac:dyDescent="0.25">
      <c r="A312" s="4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61"/>
    </row>
    <row r="313" spans="1:14" x14ac:dyDescent="0.25">
      <c r="A313" s="4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61"/>
    </row>
    <row r="314" spans="1:14" x14ac:dyDescent="0.25">
      <c r="A314" s="4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61"/>
    </row>
    <row r="315" spans="1:14" x14ac:dyDescent="0.25">
      <c r="A315" s="4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61"/>
    </row>
    <row r="316" spans="1:14" x14ac:dyDescent="0.25">
      <c r="A316" s="4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61"/>
    </row>
    <row r="317" spans="1:14" x14ac:dyDescent="0.25">
      <c r="A317" s="4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61"/>
    </row>
    <row r="318" spans="1:14" x14ac:dyDescent="0.25">
      <c r="A318" s="4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61"/>
    </row>
    <row r="319" spans="1:14" x14ac:dyDescent="0.25">
      <c r="A319" s="4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61"/>
    </row>
    <row r="320" spans="1:14" x14ac:dyDescent="0.25">
      <c r="A320" s="4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61"/>
    </row>
    <row r="321" spans="1:14" x14ac:dyDescent="0.25">
      <c r="A321" s="4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61"/>
    </row>
    <row r="322" spans="1:14" x14ac:dyDescent="0.25">
      <c r="A322" s="4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61"/>
    </row>
    <row r="323" spans="1:14" x14ac:dyDescent="0.25">
      <c r="A323" s="4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61"/>
    </row>
    <row r="324" spans="1:14" x14ac:dyDescent="0.25">
      <c r="A324" s="4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61"/>
    </row>
    <row r="325" spans="1:14" x14ac:dyDescent="0.25">
      <c r="A325" s="4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61"/>
    </row>
    <row r="326" spans="1:14" x14ac:dyDescent="0.25">
      <c r="A326" s="4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61"/>
    </row>
    <row r="327" spans="1:14" x14ac:dyDescent="0.25">
      <c r="A327" s="4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61"/>
    </row>
    <row r="328" spans="1:14" x14ac:dyDescent="0.25">
      <c r="A328" s="4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61"/>
    </row>
    <row r="329" spans="1:14" x14ac:dyDescent="0.25">
      <c r="A329" s="4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61"/>
    </row>
    <row r="330" spans="1:14" x14ac:dyDescent="0.25">
      <c r="A330" s="4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61"/>
    </row>
    <row r="331" spans="1:14" x14ac:dyDescent="0.25">
      <c r="A331" s="4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61"/>
    </row>
    <row r="332" spans="1:14" x14ac:dyDescent="0.25">
      <c r="A332" s="4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61"/>
    </row>
    <row r="333" spans="1:14" x14ac:dyDescent="0.25">
      <c r="A333" s="4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61"/>
    </row>
    <row r="334" spans="1:14" x14ac:dyDescent="0.25">
      <c r="A334" s="4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61"/>
    </row>
    <row r="335" spans="1:14" x14ac:dyDescent="0.25">
      <c r="A335" s="4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61"/>
    </row>
    <row r="336" spans="1:14" x14ac:dyDescent="0.25">
      <c r="A336" s="4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61"/>
    </row>
    <row r="337" spans="1:14" x14ac:dyDescent="0.25">
      <c r="A337" s="4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61"/>
    </row>
    <row r="338" spans="1:14" x14ac:dyDescent="0.25">
      <c r="A338" s="4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61"/>
    </row>
    <row r="339" spans="1:14" x14ac:dyDescent="0.25">
      <c r="A339" s="4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61"/>
    </row>
    <row r="340" spans="1:14" x14ac:dyDescent="0.25">
      <c r="A340" s="4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61"/>
    </row>
    <row r="341" spans="1:14" x14ac:dyDescent="0.25">
      <c r="A341" s="4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61"/>
    </row>
    <row r="342" spans="1:14" x14ac:dyDescent="0.25">
      <c r="A342" s="4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61"/>
    </row>
    <row r="343" spans="1:14" x14ac:dyDescent="0.25">
      <c r="A343" s="4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61"/>
    </row>
    <row r="344" spans="1:14" x14ac:dyDescent="0.25">
      <c r="A344" s="4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61"/>
    </row>
    <row r="345" spans="1:14" x14ac:dyDescent="0.25">
      <c r="A345" s="4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61"/>
    </row>
    <row r="346" spans="1:14" x14ac:dyDescent="0.25">
      <c r="A346" s="4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61"/>
    </row>
    <row r="347" spans="1:14" x14ac:dyDescent="0.25">
      <c r="A347" s="4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61"/>
    </row>
    <row r="348" spans="1:14" x14ac:dyDescent="0.25">
      <c r="A348" s="4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61"/>
    </row>
    <row r="349" spans="1:14" x14ac:dyDescent="0.25">
      <c r="A349" s="4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61"/>
    </row>
    <row r="350" spans="1:14" x14ac:dyDescent="0.25">
      <c r="A350" s="4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61"/>
    </row>
    <row r="351" spans="1:14" x14ac:dyDescent="0.25">
      <c r="A351" s="4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61"/>
    </row>
  </sheetData>
  <pageMargins left="0.7" right="0.7" top="0.75" bottom="0.75" header="0.3" footer="0.3"/>
  <pageSetup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28" sqref="D28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15"/>
  <sheetViews>
    <sheetView topLeftCell="A28" workbookViewId="0">
      <selection activeCell="C3" sqref="C3"/>
    </sheetView>
  </sheetViews>
  <sheetFormatPr defaultRowHeight="15" x14ac:dyDescent="0.25"/>
  <cols>
    <col min="2" max="2" width="12.140625" customWidth="1"/>
    <col min="3" max="3" width="15" customWidth="1"/>
  </cols>
  <sheetData>
    <row r="2" spans="1:3" x14ac:dyDescent="0.25">
      <c r="A2" t="s">
        <v>99</v>
      </c>
    </row>
    <row r="4" spans="1:3" x14ac:dyDescent="0.25">
      <c r="A4" t="s">
        <v>100</v>
      </c>
      <c r="C4" s="12">
        <v>52032</v>
      </c>
    </row>
    <row r="5" spans="1:3" x14ac:dyDescent="0.25">
      <c r="A5" t="s">
        <v>101</v>
      </c>
      <c r="C5" s="1">
        <v>30000</v>
      </c>
    </row>
    <row r="7" spans="1:3" x14ac:dyDescent="0.25">
      <c r="C7" s="13">
        <f>SUM(C4:C6)</f>
        <v>82032</v>
      </c>
    </row>
    <row r="10" spans="1:3" x14ac:dyDescent="0.25">
      <c r="A10" t="s">
        <v>102</v>
      </c>
      <c r="C10" t="s">
        <v>103</v>
      </c>
    </row>
    <row r="13" spans="1:3" x14ac:dyDescent="0.25">
      <c r="A13" t="s">
        <v>104</v>
      </c>
    </row>
    <row r="15" spans="1:3" x14ac:dyDescent="0.25">
      <c r="A15" t="s">
        <v>105</v>
      </c>
      <c r="C15" s="1">
        <v>1093356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ALICIA K.</dc:creator>
  <cp:lastModifiedBy>John  Shepherd</cp:lastModifiedBy>
  <cp:lastPrinted>2021-05-12T17:37:02Z</cp:lastPrinted>
  <dcterms:created xsi:type="dcterms:W3CDTF">2013-03-18T14:37:29Z</dcterms:created>
  <dcterms:modified xsi:type="dcterms:W3CDTF">2021-09-09T14:45:28Z</dcterms:modified>
</cp:coreProperties>
</file>